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d.docs.live.net/a248138a52ae3229/RESPONDE/2024/COMUNICACIÓN 2025/WEBINARS/2026/Cómo crear mi plan de Tesoreria a partir del Presupuesto/"/>
    </mc:Choice>
  </mc:AlternateContent>
  <xr:revisionPtr revIDLastSave="10" documentId="8_{97A8E824-274D-485C-AEEE-7484F6C5EBF0}" xr6:coauthVersionLast="47" xr6:coauthVersionMax="47" xr10:uidLastSave="{817D4A4D-0CD3-4862-83E5-B29346A4BB15}"/>
  <bookViews>
    <workbookView xWindow="-108" yWindow="-108" windowWidth="23256" windowHeight="12456" tabRatio="773" xr2:uid="{00000000-000D-0000-FFFF-FFFF00000000}"/>
  </bookViews>
  <sheets>
    <sheet name="Resultados_Obtenidos" sheetId="1" r:id="rId1"/>
    <sheet name="TESORERIA_2025" sheetId="3" r:id="rId2"/>
    <sheet name="Proyeccion esperada" sheetId="9" r:id="rId3"/>
    <sheet name="PRESUPUESTO 2026" sheetId="12" r:id="rId4"/>
    <sheet name="Tesorería_3 meses B1" sheetId="7" r:id="rId5"/>
    <sheet name="Tesorería_3 meses B2" sheetId="13" r:id="rId6"/>
    <sheet name="Tesorería_3 meses unificado" sheetId="14" r:id="rId7"/>
    <sheet name="TESORERIA_2026" sheetId="1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4" l="1"/>
  <c r="B28" i="13"/>
  <c r="L16" i="15"/>
  <c r="H24" i="15"/>
  <c r="C29" i="15"/>
  <c r="B21" i="15"/>
  <c r="C20" i="12"/>
  <c r="B31" i="15" s="1"/>
  <c r="M61" i="15"/>
  <c r="L61" i="15"/>
  <c r="K61" i="15"/>
  <c r="K62" i="15" s="1"/>
  <c r="K73" i="15" s="1"/>
  <c r="J61" i="15"/>
  <c r="J62" i="15" s="1"/>
  <c r="J73" i="15" s="1"/>
  <c r="I61" i="15"/>
  <c r="H61" i="15"/>
  <c r="G61" i="15"/>
  <c r="F61" i="15"/>
  <c r="F62" i="15" s="1"/>
  <c r="F73" i="15" s="1"/>
  <c r="E61" i="15"/>
  <c r="D61" i="15"/>
  <c r="C61" i="15"/>
  <c r="B61" i="15"/>
  <c r="A34" i="15"/>
  <c r="A33" i="15"/>
  <c r="A32" i="15"/>
  <c r="A31" i="15"/>
  <c r="A29" i="15"/>
  <c r="A28" i="15"/>
  <c r="A27" i="15"/>
  <c r="A26" i="15"/>
  <c r="A25" i="15"/>
  <c r="A24" i="15"/>
  <c r="A23" i="15"/>
  <c r="A22" i="15"/>
  <c r="A21" i="15"/>
  <c r="A20" i="15"/>
  <c r="A19" i="15"/>
  <c r="A18" i="15"/>
  <c r="A17" i="15"/>
  <c r="A16" i="15"/>
  <c r="A15" i="15"/>
  <c r="A14" i="15"/>
  <c r="A13" i="15"/>
  <c r="A12" i="15"/>
  <c r="B41" i="15"/>
  <c r="B77" i="15"/>
  <c r="B71" i="15"/>
  <c r="B43" i="15"/>
  <c r="B47" i="15"/>
  <c r="H62" i="15"/>
  <c r="H73" i="15" s="1"/>
  <c r="D62" i="15"/>
  <c r="D73" i="15" s="1"/>
  <c r="M62" i="15"/>
  <c r="M73" i="15" s="1"/>
  <c r="L62" i="15"/>
  <c r="L73" i="15" s="1"/>
  <c r="I62" i="15"/>
  <c r="I73" i="15" s="1"/>
  <c r="G62" i="15"/>
  <c r="G73" i="15" s="1"/>
  <c r="E62" i="15"/>
  <c r="E73" i="15" s="1"/>
  <c r="C62" i="15"/>
  <c r="C73" i="15" s="1"/>
  <c r="B62" i="15"/>
  <c r="B73" i="15" s="1"/>
  <c r="M47" i="15"/>
  <c r="L47" i="15"/>
  <c r="J47" i="15"/>
  <c r="I47" i="15"/>
  <c r="G47" i="15"/>
  <c r="F47" i="15"/>
  <c r="D47" i="15"/>
  <c r="C47" i="15"/>
  <c r="B24" i="13"/>
  <c r="B24" i="7"/>
  <c r="B7" i="7"/>
  <c r="C31" i="3"/>
  <c r="D31" i="3"/>
  <c r="C32" i="3"/>
  <c r="D32" i="3"/>
  <c r="C33" i="3"/>
  <c r="D33" i="3"/>
  <c r="C34" i="3"/>
  <c r="D34"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C27" i="3"/>
  <c r="D27" i="3"/>
  <c r="C28" i="3"/>
  <c r="D28" i="3"/>
  <c r="C29" i="3"/>
  <c r="D29" i="3"/>
  <c r="E12" i="3"/>
  <c r="F12" i="3"/>
  <c r="G12" i="3"/>
  <c r="H12" i="3"/>
  <c r="I12" i="3"/>
  <c r="J12" i="3"/>
  <c r="K12" i="3"/>
  <c r="L12" i="3"/>
  <c r="M12" i="3"/>
  <c r="E13" i="3"/>
  <c r="F13" i="3"/>
  <c r="G13" i="3"/>
  <c r="H13" i="3"/>
  <c r="I13" i="3"/>
  <c r="J13" i="3"/>
  <c r="K13" i="3"/>
  <c r="L13" i="3"/>
  <c r="M13" i="3"/>
  <c r="E14" i="3"/>
  <c r="F14" i="3"/>
  <c r="G14" i="3"/>
  <c r="H14" i="3"/>
  <c r="I14" i="3"/>
  <c r="J14" i="3"/>
  <c r="K14" i="3"/>
  <c r="L14" i="3"/>
  <c r="M14" i="3"/>
  <c r="E15" i="3"/>
  <c r="F15" i="3"/>
  <c r="G15" i="3"/>
  <c r="H15" i="3"/>
  <c r="I15" i="3"/>
  <c r="J15" i="3"/>
  <c r="K15" i="3"/>
  <c r="L15" i="3"/>
  <c r="M15" i="3"/>
  <c r="E16" i="3"/>
  <c r="F16" i="3"/>
  <c r="G16" i="3"/>
  <c r="H16" i="3"/>
  <c r="I16" i="3"/>
  <c r="J16" i="3"/>
  <c r="K16" i="3"/>
  <c r="L16" i="3"/>
  <c r="M16" i="3"/>
  <c r="E17" i="3"/>
  <c r="F17" i="3"/>
  <c r="G17" i="3"/>
  <c r="H17" i="3"/>
  <c r="I17" i="3"/>
  <c r="J17" i="3"/>
  <c r="K17" i="3"/>
  <c r="L17" i="3"/>
  <c r="M17" i="3"/>
  <c r="E18" i="3"/>
  <c r="F18" i="3"/>
  <c r="G18" i="3"/>
  <c r="H18" i="3"/>
  <c r="I18" i="3"/>
  <c r="J18" i="3"/>
  <c r="K18" i="3"/>
  <c r="L18" i="3"/>
  <c r="M18" i="3"/>
  <c r="E19" i="3"/>
  <c r="F19" i="3"/>
  <c r="G19" i="3"/>
  <c r="H19" i="3"/>
  <c r="I19" i="3"/>
  <c r="J19" i="3"/>
  <c r="K19" i="3"/>
  <c r="L19" i="3"/>
  <c r="M19" i="3"/>
  <c r="E20" i="3"/>
  <c r="F20" i="3"/>
  <c r="G20" i="3"/>
  <c r="H20" i="3"/>
  <c r="I20" i="3"/>
  <c r="J20" i="3"/>
  <c r="K20" i="3"/>
  <c r="L20" i="3"/>
  <c r="M20" i="3"/>
  <c r="E21" i="3"/>
  <c r="F21" i="3"/>
  <c r="G21" i="3"/>
  <c r="H21" i="3"/>
  <c r="I21" i="3"/>
  <c r="J21" i="3"/>
  <c r="K21" i="3"/>
  <c r="L21" i="3"/>
  <c r="M21" i="3"/>
  <c r="E22" i="3"/>
  <c r="F22" i="3"/>
  <c r="G22" i="3"/>
  <c r="H22" i="3"/>
  <c r="I22" i="3"/>
  <c r="J22" i="3"/>
  <c r="K22" i="3"/>
  <c r="L22" i="3"/>
  <c r="M22" i="3"/>
  <c r="E23" i="3"/>
  <c r="F23" i="3"/>
  <c r="G23" i="3"/>
  <c r="H23" i="3"/>
  <c r="I23" i="3"/>
  <c r="J23" i="3"/>
  <c r="K23" i="3"/>
  <c r="L23" i="3"/>
  <c r="M23" i="3"/>
  <c r="E24" i="3"/>
  <c r="F24" i="3"/>
  <c r="G24" i="3"/>
  <c r="H24" i="3"/>
  <c r="I24" i="3"/>
  <c r="J24" i="3"/>
  <c r="K24" i="3"/>
  <c r="L24" i="3"/>
  <c r="M24" i="3"/>
  <c r="E25" i="3"/>
  <c r="F25" i="3"/>
  <c r="G25" i="3"/>
  <c r="H25" i="3"/>
  <c r="I25" i="3"/>
  <c r="J25" i="3"/>
  <c r="K25" i="3"/>
  <c r="L25" i="3"/>
  <c r="M25" i="3"/>
  <c r="E26" i="3"/>
  <c r="F26" i="3"/>
  <c r="G26" i="3"/>
  <c r="H26" i="3"/>
  <c r="I26" i="3"/>
  <c r="J26" i="3"/>
  <c r="K26" i="3"/>
  <c r="L26" i="3"/>
  <c r="M26" i="3"/>
  <c r="E27" i="3"/>
  <c r="F27" i="3"/>
  <c r="G27" i="3"/>
  <c r="H27" i="3"/>
  <c r="I27" i="3"/>
  <c r="J27" i="3"/>
  <c r="K27" i="3"/>
  <c r="L27" i="3"/>
  <c r="M27" i="3"/>
  <c r="E28" i="3"/>
  <c r="F28" i="3"/>
  <c r="G28" i="3"/>
  <c r="H28" i="3"/>
  <c r="I28" i="3"/>
  <c r="J28" i="3"/>
  <c r="K28" i="3"/>
  <c r="L28" i="3"/>
  <c r="M28" i="3"/>
  <c r="E29" i="3"/>
  <c r="F29" i="3"/>
  <c r="G29" i="3"/>
  <c r="H29" i="3"/>
  <c r="I29" i="3"/>
  <c r="J29" i="3"/>
  <c r="K29" i="3"/>
  <c r="L29" i="3"/>
  <c r="M29" i="3"/>
  <c r="L19" i="7"/>
  <c r="D29" i="14"/>
  <c r="C29" i="14"/>
  <c r="H19" i="7"/>
  <c r="F19" i="7"/>
  <c r="C21" i="14" s="1"/>
  <c r="G19" i="7"/>
  <c r="I19" i="7"/>
  <c r="J19" i="7"/>
  <c r="D21" i="14" s="1"/>
  <c r="K19" i="7"/>
  <c r="M19" i="7"/>
  <c r="B48" i="3"/>
  <c r="B49" i="3"/>
  <c r="B72" i="3"/>
  <c r="B22" i="3"/>
  <c r="B23" i="3"/>
  <c r="B24" i="3"/>
  <c r="B25" i="3"/>
  <c r="B26" i="3"/>
  <c r="B27" i="3"/>
  <c r="B28" i="3"/>
  <c r="B29" i="3"/>
  <c r="B21" i="3"/>
  <c r="B16" i="3"/>
  <c r="B17" i="3"/>
  <c r="B18" i="3"/>
  <c r="B19" i="3"/>
  <c r="B20" i="3"/>
  <c r="B15" i="3"/>
  <c r="B14" i="3"/>
  <c r="D19" i="7"/>
  <c r="B25" i="14"/>
  <c r="B79" i="3"/>
  <c r="B7" i="13"/>
  <c r="B71" i="3"/>
  <c r="B35" i="13"/>
  <c r="D35" i="13"/>
  <c r="M35" i="13"/>
  <c r="K35" i="13"/>
  <c r="I35" i="13"/>
  <c r="E35" i="13"/>
  <c r="M19" i="13"/>
  <c r="L21" i="13"/>
  <c r="L26" i="13" s="1"/>
  <c r="K19" i="13"/>
  <c r="J19" i="13"/>
  <c r="I19" i="13"/>
  <c r="H21" i="13"/>
  <c r="H26" i="13" s="1"/>
  <c r="G19" i="13"/>
  <c r="G21" i="13" s="1"/>
  <c r="G26" i="13" s="1"/>
  <c r="F19" i="13"/>
  <c r="E19" i="13"/>
  <c r="D21" i="13"/>
  <c r="D26" i="13" s="1"/>
  <c r="C19" i="13"/>
  <c r="C21" i="13" s="1"/>
  <c r="C26" i="13" s="1"/>
  <c r="B19" i="13"/>
  <c r="K21" i="13"/>
  <c r="K26" i="13" s="1"/>
  <c r="L35" i="13"/>
  <c r="F35" i="13"/>
  <c r="D20" i="12"/>
  <c r="F14" i="13" s="1"/>
  <c r="C16" i="14" s="1"/>
  <c r="E20" i="12"/>
  <c r="D31" i="15" s="1"/>
  <c r="F20" i="12"/>
  <c r="E31" i="15" s="1"/>
  <c r="G20" i="12"/>
  <c r="F31" i="15" s="1"/>
  <c r="H20" i="12"/>
  <c r="G31" i="15" s="1"/>
  <c r="I20" i="12"/>
  <c r="H31" i="15" s="1"/>
  <c r="J20" i="12"/>
  <c r="I31" i="15" s="1"/>
  <c r="K20" i="12"/>
  <c r="J31" i="15" s="1"/>
  <c r="L20" i="12"/>
  <c r="K31" i="15" s="1"/>
  <c r="M20" i="12"/>
  <c r="L31" i="15" s="1"/>
  <c r="N20" i="12"/>
  <c r="M31" i="15" s="1"/>
  <c r="D21" i="12"/>
  <c r="C12" i="15" s="1"/>
  <c r="E21" i="12"/>
  <c r="D12" i="15" s="1"/>
  <c r="F21" i="12"/>
  <c r="E12" i="15" s="1"/>
  <c r="G21" i="12"/>
  <c r="F12" i="15" s="1"/>
  <c r="H21" i="12"/>
  <c r="G12" i="15" s="1"/>
  <c r="I21" i="12"/>
  <c r="H12" i="15" s="1"/>
  <c r="J21" i="12"/>
  <c r="I12" i="15" s="1"/>
  <c r="K21" i="12"/>
  <c r="J12" i="15" s="1"/>
  <c r="L21" i="12"/>
  <c r="K12" i="15" s="1"/>
  <c r="M21" i="12"/>
  <c r="L12" i="15" s="1"/>
  <c r="N21" i="12"/>
  <c r="M12" i="15" s="1"/>
  <c r="D22" i="12"/>
  <c r="C13" i="15" s="1"/>
  <c r="E22" i="12"/>
  <c r="D13" i="15" s="1"/>
  <c r="F22" i="12"/>
  <c r="E13" i="15" s="1"/>
  <c r="G22" i="12"/>
  <c r="F13" i="15" s="1"/>
  <c r="H22" i="12"/>
  <c r="G13" i="15" s="1"/>
  <c r="I22" i="12"/>
  <c r="H13" i="15" s="1"/>
  <c r="J22" i="12"/>
  <c r="I13" i="15" s="1"/>
  <c r="K22" i="12"/>
  <c r="J13" i="15" s="1"/>
  <c r="L22" i="12"/>
  <c r="K13" i="15" s="1"/>
  <c r="M22" i="12"/>
  <c r="L13" i="15" s="1"/>
  <c r="N22" i="12"/>
  <c r="M13" i="15" s="1"/>
  <c r="D23" i="12"/>
  <c r="C32" i="15" s="1"/>
  <c r="E23" i="12"/>
  <c r="D32" i="15" s="1"/>
  <c r="F23" i="12"/>
  <c r="E32" i="15" s="1"/>
  <c r="G23" i="12"/>
  <c r="F32" i="15" s="1"/>
  <c r="H23" i="12"/>
  <c r="G32" i="15" s="1"/>
  <c r="I23" i="12"/>
  <c r="H32" i="15" s="1"/>
  <c r="J23" i="12"/>
  <c r="I32" i="15" s="1"/>
  <c r="K23" i="12"/>
  <c r="J32" i="15" s="1"/>
  <c r="L23" i="12"/>
  <c r="K32" i="15" s="1"/>
  <c r="M23" i="12"/>
  <c r="L32" i="15" s="1"/>
  <c r="N23" i="12"/>
  <c r="M32" i="15" s="1"/>
  <c r="D24" i="12"/>
  <c r="C33" i="15" s="1"/>
  <c r="E24" i="12"/>
  <c r="D33" i="15" s="1"/>
  <c r="F24" i="12"/>
  <c r="E33" i="15" s="1"/>
  <c r="G24" i="12"/>
  <c r="F33" i="15" s="1"/>
  <c r="H24" i="12"/>
  <c r="G33" i="15" s="1"/>
  <c r="I24" i="12"/>
  <c r="H33" i="15" s="1"/>
  <c r="J24" i="12"/>
  <c r="I33" i="15" s="1"/>
  <c r="K24" i="12"/>
  <c r="J33" i="15" s="1"/>
  <c r="L24" i="12"/>
  <c r="K33" i="15" s="1"/>
  <c r="M24" i="12"/>
  <c r="L33" i="15" s="1"/>
  <c r="N24" i="12"/>
  <c r="M33" i="15" s="1"/>
  <c r="D25" i="12"/>
  <c r="C14" i="15" s="1"/>
  <c r="E25" i="12"/>
  <c r="D14" i="15" s="1"/>
  <c r="F25" i="12"/>
  <c r="E14" i="15" s="1"/>
  <c r="G25" i="12"/>
  <c r="F14" i="15" s="1"/>
  <c r="H25" i="12"/>
  <c r="G14" i="15" s="1"/>
  <c r="I25" i="12"/>
  <c r="H14" i="15" s="1"/>
  <c r="J25" i="12"/>
  <c r="I14" i="15" s="1"/>
  <c r="K25" i="12"/>
  <c r="J14" i="15" s="1"/>
  <c r="L25" i="12"/>
  <c r="K14" i="15" s="1"/>
  <c r="M25" i="12"/>
  <c r="L14" i="15" s="1"/>
  <c r="N25" i="12"/>
  <c r="M14" i="15" s="1"/>
  <c r="D27" i="12"/>
  <c r="C15" i="15" s="1"/>
  <c r="E27" i="12"/>
  <c r="D15" i="15" s="1"/>
  <c r="F27" i="12"/>
  <c r="E15" i="15" s="1"/>
  <c r="G27" i="12"/>
  <c r="F15" i="15" s="1"/>
  <c r="H27" i="12"/>
  <c r="G15" i="15" s="1"/>
  <c r="I27" i="12"/>
  <c r="H15" i="15" s="1"/>
  <c r="J27" i="12"/>
  <c r="I15" i="15" s="1"/>
  <c r="K27" i="12"/>
  <c r="J15" i="15" s="1"/>
  <c r="L27" i="12"/>
  <c r="K15" i="15" s="1"/>
  <c r="M27" i="12"/>
  <c r="L15" i="15" s="1"/>
  <c r="N27" i="12"/>
  <c r="M15" i="15" s="1"/>
  <c r="D28" i="12"/>
  <c r="C16" i="15" s="1"/>
  <c r="E28" i="12"/>
  <c r="D16" i="15" s="1"/>
  <c r="F28" i="12"/>
  <c r="E16" i="15" s="1"/>
  <c r="G28" i="12"/>
  <c r="F16" i="15" s="1"/>
  <c r="H28" i="12"/>
  <c r="G16" i="15" s="1"/>
  <c r="I28" i="12"/>
  <c r="H16" i="15" s="1"/>
  <c r="J28" i="12"/>
  <c r="I16" i="15" s="1"/>
  <c r="K28" i="12"/>
  <c r="J16" i="15" s="1"/>
  <c r="L28" i="12"/>
  <c r="K16" i="15" s="1"/>
  <c r="M28" i="12"/>
  <c r="N28" i="12"/>
  <c r="M16" i="15" s="1"/>
  <c r="D29" i="12"/>
  <c r="C17" i="15" s="1"/>
  <c r="E29" i="12"/>
  <c r="D17" i="15" s="1"/>
  <c r="F29" i="12"/>
  <c r="E17" i="15" s="1"/>
  <c r="G29" i="12"/>
  <c r="F17" i="15" s="1"/>
  <c r="H29" i="12"/>
  <c r="G17" i="15" s="1"/>
  <c r="I29" i="12"/>
  <c r="H17" i="15" s="1"/>
  <c r="J29" i="12"/>
  <c r="I17" i="15" s="1"/>
  <c r="K29" i="12"/>
  <c r="J17" i="15" s="1"/>
  <c r="L29" i="12"/>
  <c r="K17" i="15" s="1"/>
  <c r="M29" i="12"/>
  <c r="L17" i="15" s="1"/>
  <c r="N29" i="12"/>
  <c r="M17" i="15" s="1"/>
  <c r="D30" i="12"/>
  <c r="C18" i="15" s="1"/>
  <c r="E30" i="12"/>
  <c r="D18" i="15" s="1"/>
  <c r="F30" i="12"/>
  <c r="E18" i="15" s="1"/>
  <c r="G30" i="12"/>
  <c r="F18" i="15" s="1"/>
  <c r="H30" i="12"/>
  <c r="G18" i="15" s="1"/>
  <c r="I30" i="12"/>
  <c r="H18" i="15" s="1"/>
  <c r="J30" i="12"/>
  <c r="I18" i="15" s="1"/>
  <c r="K30" i="12"/>
  <c r="J18" i="15" s="1"/>
  <c r="L30" i="12"/>
  <c r="K18" i="15" s="1"/>
  <c r="M30" i="12"/>
  <c r="L18" i="15" s="1"/>
  <c r="N30" i="12"/>
  <c r="M18" i="15" s="1"/>
  <c r="D31" i="12"/>
  <c r="C19" i="15" s="1"/>
  <c r="E31" i="12"/>
  <c r="D19" i="15" s="1"/>
  <c r="F31" i="12"/>
  <c r="E19" i="15" s="1"/>
  <c r="G31" i="12"/>
  <c r="F19" i="15" s="1"/>
  <c r="H31" i="12"/>
  <c r="G19" i="15" s="1"/>
  <c r="I31" i="12"/>
  <c r="H19" i="15" s="1"/>
  <c r="J31" i="12"/>
  <c r="I19" i="15" s="1"/>
  <c r="K31" i="12"/>
  <c r="J19" i="15" s="1"/>
  <c r="L31" i="12"/>
  <c r="K19" i="15" s="1"/>
  <c r="M31" i="12"/>
  <c r="L19" i="15" s="1"/>
  <c r="N31" i="12"/>
  <c r="M19" i="15" s="1"/>
  <c r="D32" i="12"/>
  <c r="C20" i="15" s="1"/>
  <c r="E32" i="12"/>
  <c r="D20" i="15" s="1"/>
  <c r="F32" i="12"/>
  <c r="E20" i="15" s="1"/>
  <c r="G32" i="12"/>
  <c r="F20" i="15" s="1"/>
  <c r="H32" i="12"/>
  <c r="G20" i="15" s="1"/>
  <c r="I32" i="12"/>
  <c r="H20" i="15" s="1"/>
  <c r="J32" i="12"/>
  <c r="I20" i="15" s="1"/>
  <c r="K32" i="12"/>
  <c r="J20" i="15" s="1"/>
  <c r="L32" i="12"/>
  <c r="K20" i="15" s="1"/>
  <c r="M32" i="12"/>
  <c r="L20" i="15" s="1"/>
  <c r="N32" i="12"/>
  <c r="M20" i="15" s="1"/>
  <c r="D34" i="12"/>
  <c r="C34" i="15" s="1"/>
  <c r="E34" i="12"/>
  <c r="D34" i="15" s="1"/>
  <c r="F34" i="12"/>
  <c r="E34" i="15" s="1"/>
  <c r="G34" i="12"/>
  <c r="F34" i="15" s="1"/>
  <c r="H34" i="12"/>
  <c r="G34" i="15" s="1"/>
  <c r="I34" i="12"/>
  <c r="H34" i="15" s="1"/>
  <c r="J34" i="12"/>
  <c r="I34" i="15" s="1"/>
  <c r="K34" i="12"/>
  <c r="J34" i="15" s="1"/>
  <c r="L34" i="12"/>
  <c r="K34" i="15" s="1"/>
  <c r="M34" i="12"/>
  <c r="L34" i="15" s="1"/>
  <c r="N34" i="12"/>
  <c r="M34" i="15" s="1"/>
  <c r="D35" i="12"/>
  <c r="E35" i="12"/>
  <c r="D21" i="15" s="1"/>
  <c r="F35" i="12"/>
  <c r="E21" i="15" s="1"/>
  <c r="G35" i="12"/>
  <c r="F21" i="15" s="1"/>
  <c r="H35" i="12"/>
  <c r="G21" i="15" s="1"/>
  <c r="I35" i="12"/>
  <c r="H21" i="15" s="1"/>
  <c r="J35" i="12"/>
  <c r="I21" i="15" s="1"/>
  <c r="K35" i="12"/>
  <c r="J21" i="15" s="1"/>
  <c r="L35" i="12"/>
  <c r="K21" i="15" s="1"/>
  <c r="M35" i="12"/>
  <c r="L21" i="15" s="1"/>
  <c r="N35" i="12"/>
  <c r="M21" i="15" s="1"/>
  <c r="D36" i="12"/>
  <c r="C22" i="15" s="1"/>
  <c r="E36" i="12"/>
  <c r="D22" i="15" s="1"/>
  <c r="F36" i="12"/>
  <c r="E22" i="15" s="1"/>
  <c r="G36" i="12"/>
  <c r="F22" i="15" s="1"/>
  <c r="H36" i="12"/>
  <c r="G22" i="15" s="1"/>
  <c r="I36" i="12"/>
  <c r="H22" i="15" s="1"/>
  <c r="J36" i="12"/>
  <c r="I22" i="15" s="1"/>
  <c r="K36" i="12"/>
  <c r="J22" i="15" s="1"/>
  <c r="L36" i="12"/>
  <c r="K22" i="15" s="1"/>
  <c r="M36" i="12"/>
  <c r="L22" i="15" s="1"/>
  <c r="N36" i="12"/>
  <c r="M22" i="15" s="1"/>
  <c r="D37" i="12"/>
  <c r="C23" i="15" s="1"/>
  <c r="E37" i="12"/>
  <c r="D23" i="15" s="1"/>
  <c r="F37" i="12"/>
  <c r="E23" i="15" s="1"/>
  <c r="G37" i="12"/>
  <c r="F23" i="15" s="1"/>
  <c r="H37" i="12"/>
  <c r="G23" i="15" s="1"/>
  <c r="I37" i="12"/>
  <c r="H23" i="15" s="1"/>
  <c r="J37" i="12"/>
  <c r="I23" i="15" s="1"/>
  <c r="K37" i="12"/>
  <c r="J23" i="15" s="1"/>
  <c r="L37" i="12"/>
  <c r="K23" i="15" s="1"/>
  <c r="M37" i="12"/>
  <c r="L23" i="15" s="1"/>
  <c r="N37" i="12"/>
  <c r="M23" i="15" s="1"/>
  <c r="D38" i="12"/>
  <c r="C24" i="15" s="1"/>
  <c r="E38" i="12"/>
  <c r="D24" i="15" s="1"/>
  <c r="F38" i="12"/>
  <c r="E24" i="15" s="1"/>
  <c r="G38" i="12"/>
  <c r="F24" i="15" s="1"/>
  <c r="H38" i="12"/>
  <c r="G24" i="15" s="1"/>
  <c r="I38" i="12"/>
  <c r="J38" i="12"/>
  <c r="I24" i="15" s="1"/>
  <c r="K38" i="12"/>
  <c r="J24" i="15" s="1"/>
  <c r="L38" i="12"/>
  <c r="K24" i="15" s="1"/>
  <c r="M38" i="12"/>
  <c r="L24" i="15" s="1"/>
  <c r="N38" i="12"/>
  <c r="M24" i="15" s="1"/>
  <c r="D39" i="12"/>
  <c r="C25" i="15" s="1"/>
  <c r="E39" i="12"/>
  <c r="D25" i="15" s="1"/>
  <c r="F39" i="12"/>
  <c r="E25" i="15" s="1"/>
  <c r="G39" i="12"/>
  <c r="F25" i="15" s="1"/>
  <c r="H39" i="12"/>
  <c r="G25" i="15" s="1"/>
  <c r="I39" i="12"/>
  <c r="H25" i="15" s="1"/>
  <c r="J39" i="12"/>
  <c r="I25" i="15" s="1"/>
  <c r="K39" i="12"/>
  <c r="J25" i="15" s="1"/>
  <c r="L39" i="12"/>
  <c r="K25" i="15" s="1"/>
  <c r="M39" i="12"/>
  <c r="L25" i="15" s="1"/>
  <c r="N39" i="12"/>
  <c r="M25" i="15" s="1"/>
  <c r="D40" i="12"/>
  <c r="C26" i="15" s="1"/>
  <c r="E40" i="12"/>
  <c r="D26" i="15" s="1"/>
  <c r="F40" i="12"/>
  <c r="E26" i="15" s="1"/>
  <c r="G40" i="12"/>
  <c r="F26" i="15" s="1"/>
  <c r="H40" i="12"/>
  <c r="G26" i="15" s="1"/>
  <c r="I40" i="12"/>
  <c r="H26" i="15" s="1"/>
  <c r="J40" i="12"/>
  <c r="I26" i="15" s="1"/>
  <c r="K40" i="12"/>
  <c r="J26" i="15" s="1"/>
  <c r="L40" i="12"/>
  <c r="K26" i="15" s="1"/>
  <c r="M40" i="12"/>
  <c r="L26" i="15" s="1"/>
  <c r="N40" i="12"/>
  <c r="M26" i="15" s="1"/>
  <c r="D41" i="12"/>
  <c r="C27" i="15" s="1"/>
  <c r="E41" i="12"/>
  <c r="D27" i="15" s="1"/>
  <c r="F41" i="12"/>
  <c r="E27" i="15" s="1"/>
  <c r="G41" i="12"/>
  <c r="F27" i="15" s="1"/>
  <c r="H41" i="12"/>
  <c r="G27" i="15" s="1"/>
  <c r="I41" i="12"/>
  <c r="H27" i="15" s="1"/>
  <c r="J41" i="12"/>
  <c r="I27" i="15" s="1"/>
  <c r="K41" i="12"/>
  <c r="J27" i="15" s="1"/>
  <c r="L41" i="12"/>
  <c r="K27" i="15" s="1"/>
  <c r="M41" i="12"/>
  <c r="L27" i="15" s="1"/>
  <c r="N41" i="12"/>
  <c r="M27" i="15" s="1"/>
  <c r="D42" i="12"/>
  <c r="C28" i="15" s="1"/>
  <c r="E42" i="12"/>
  <c r="D28" i="15" s="1"/>
  <c r="F42" i="12"/>
  <c r="E28" i="15" s="1"/>
  <c r="G42" i="12"/>
  <c r="F28" i="15" s="1"/>
  <c r="H42" i="12"/>
  <c r="G28" i="15" s="1"/>
  <c r="I42" i="12"/>
  <c r="H28" i="15" s="1"/>
  <c r="J42" i="12"/>
  <c r="I28" i="15" s="1"/>
  <c r="K42" i="12"/>
  <c r="J28" i="15" s="1"/>
  <c r="L42" i="12"/>
  <c r="K28" i="15" s="1"/>
  <c r="M42" i="12"/>
  <c r="L28" i="15" s="1"/>
  <c r="N42" i="12"/>
  <c r="M28" i="15" s="1"/>
  <c r="D43" i="12"/>
  <c r="E43" i="12"/>
  <c r="D29" i="15" s="1"/>
  <c r="F43" i="12"/>
  <c r="E29" i="15" s="1"/>
  <c r="G43" i="12"/>
  <c r="F29" i="15" s="1"/>
  <c r="H43" i="12"/>
  <c r="G29" i="15" s="1"/>
  <c r="I43" i="12"/>
  <c r="H29" i="15" s="1"/>
  <c r="J43" i="12"/>
  <c r="I29" i="15" s="1"/>
  <c r="K43" i="12"/>
  <c r="J29" i="15" s="1"/>
  <c r="L43" i="12"/>
  <c r="K29" i="15" s="1"/>
  <c r="M43" i="12"/>
  <c r="L29" i="15" s="1"/>
  <c r="N43" i="12"/>
  <c r="M29" i="15" s="1"/>
  <c r="C21" i="12"/>
  <c r="B12" i="15" s="1"/>
  <c r="C22" i="12"/>
  <c r="B13" i="15" s="1"/>
  <c r="C23" i="12"/>
  <c r="B32" i="15" s="1"/>
  <c r="C24" i="12"/>
  <c r="B33" i="15" s="1"/>
  <c r="C25" i="12"/>
  <c r="B14" i="15" s="1"/>
  <c r="C27" i="12"/>
  <c r="B15" i="15" s="1"/>
  <c r="C28" i="12"/>
  <c r="B16" i="15" s="1"/>
  <c r="C29" i="12"/>
  <c r="B17" i="15" s="1"/>
  <c r="C30" i="12"/>
  <c r="B18" i="15" s="1"/>
  <c r="C31" i="12"/>
  <c r="B19" i="15" s="1"/>
  <c r="C32" i="12"/>
  <c r="B20" i="15" s="1"/>
  <c r="C34" i="12"/>
  <c r="B34" i="15" s="1"/>
  <c r="C35" i="12"/>
  <c r="C36" i="12"/>
  <c r="B22" i="15" s="1"/>
  <c r="C37" i="12"/>
  <c r="B23" i="15" s="1"/>
  <c r="C38" i="12"/>
  <c r="B24" i="15" s="1"/>
  <c r="C39" i="12"/>
  <c r="B25" i="15" s="1"/>
  <c r="C40" i="12"/>
  <c r="B26" i="15" s="1"/>
  <c r="C41" i="12"/>
  <c r="B27" i="15" s="1"/>
  <c r="C42" i="12"/>
  <c r="B28" i="15" s="1"/>
  <c r="C43" i="12"/>
  <c r="B29" i="15" s="1"/>
  <c r="D16" i="12"/>
  <c r="E16" i="12"/>
  <c r="F16" i="12"/>
  <c r="G16" i="12"/>
  <c r="H16" i="12"/>
  <c r="I16" i="12"/>
  <c r="J16" i="12"/>
  <c r="K16" i="12"/>
  <c r="L16" i="12"/>
  <c r="M16" i="12"/>
  <c r="N16" i="12"/>
  <c r="D17" i="12"/>
  <c r="E17" i="12"/>
  <c r="F17" i="12"/>
  <c r="G17" i="12"/>
  <c r="H17" i="12"/>
  <c r="I17" i="12"/>
  <c r="J17" i="12"/>
  <c r="K17" i="12"/>
  <c r="L17" i="12"/>
  <c r="M17" i="12"/>
  <c r="N17" i="12"/>
  <c r="D18" i="12"/>
  <c r="E18" i="12"/>
  <c r="F18" i="12"/>
  <c r="G18" i="12"/>
  <c r="H18" i="12"/>
  <c r="I18" i="12"/>
  <c r="J18" i="12"/>
  <c r="K18" i="12"/>
  <c r="L18" i="12"/>
  <c r="M18" i="12"/>
  <c r="N18" i="12"/>
  <c r="C17" i="12"/>
  <c r="C18" i="12"/>
  <c r="C16" i="12"/>
  <c r="D9" i="12"/>
  <c r="E9" i="12"/>
  <c r="F9" i="12"/>
  <c r="G9" i="12"/>
  <c r="H9" i="12"/>
  <c r="I9" i="12"/>
  <c r="J9" i="12"/>
  <c r="K9" i="12"/>
  <c r="L9" i="12"/>
  <c r="M9" i="12"/>
  <c r="N9" i="12"/>
  <c r="D10" i="12"/>
  <c r="E10" i="12"/>
  <c r="F10" i="12"/>
  <c r="G10" i="12"/>
  <c r="H10" i="12"/>
  <c r="I10" i="12"/>
  <c r="J10" i="12"/>
  <c r="K10" i="12"/>
  <c r="L10" i="12"/>
  <c r="M10" i="12"/>
  <c r="N10" i="12"/>
  <c r="D11" i="12"/>
  <c r="E11" i="12"/>
  <c r="F11" i="12"/>
  <c r="G11" i="12"/>
  <c r="H11" i="12"/>
  <c r="I11" i="12"/>
  <c r="J11" i="12"/>
  <c r="K11" i="12"/>
  <c r="L11" i="12"/>
  <c r="M11" i="12"/>
  <c r="N11" i="12"/>
  <c r="D12" i="12"/>
  <c r="E12" i="12"/>
  <c r="F12" i="12"/>
  <c r="G12" i="12"/>
  <c r="H12" i="12"/>
  <c r="I12" i="12"/>
  <c r="J12" i="12"/>
  <c r="K12" i="12"/>
  <c r="L12" i="12"/>
  <c r="M12" i="12"/>
  <c r="N12" i="12"/>
  <c r="D13" i="12"/>
  <c r="E13" i="12"/>
  <c r="F13" i="12"/>
  <c r="G13" i="12"/>
  <c r="H13" i="12"/>
  <c r="I13" i="12"/>
  <c r="J13" i="12"/>
  <c r="K13" i="12"/>
  <c r="L13" i="12"/>
  <c r="M13" i="12"/>
  <c r="N13" i="12"/>
  <c r="C10" i="12"/>
  <c r="C11" i="12"/>
  <c r="C12" i="12"/>
  <c r="C13" i="12"/>
  <c r="C9" i="12"/>
  <c r="D4" i="12"/>
  <c r="C4" i="15" s="1"/>
  <c r="E4" i="12"/>
  <c r="D4" i="15" s="1"/>
  <c r="F4" i="12"/>
  <c r="E4" i="15" s="1"/>
  <c r="G4" i="12"/>
  <c r="F4" i="15" s="1"/>
  <c r="H4" i="12"/>
  <c r="G4" i="15" s="1"/>
  <c r="I4" i="12"/>
  <c r="H4" i="15" s="1"/>
  <c r="J4" i="12"/>
  <c r="I4" i="15" s="1"/>
  <c r="K4" i="12"/>
  <c r="J4" i="15" s="1"/>
  <c r="L4" i="12"/>
  <c r="K4" i="15" s="1"/>
  <c r="M4" i="12"/>
  <c r="L4" i="15" s="1"/>
  <c r="N4" i="12"/>
  <c r="M4" i="15" s="1"/>
  <c r="D5" i="12"/>
  <c r="C5" i="15" s="1"/>
  <c r="E5" i="12"/>
  <c r="D5" i="15" s="1"/>
  <c r="F5" i="12"/>
  <c r="E5" i="15" s="1"/>
  <c r="G5" i="12"/>
  <c r="F5" i="15" s="1"/>
  <c r="H5" i="12"/>
  <c r="G5" i="15" s="1"/>
  <c r="I5" i="12"/>
  <c r="H5" i="15" s="1"/>
  <c r="J5" i="12"/>
  <c r="I5" i="15" s="1"/>
  <c r="K5" i="12"/>
  <c r="J5" i="15" s="1"/>
  <c r="L5" i="12"/>
  <c r="K5" i="15" s="1"/>
  <c r="M5" i="12"/>
  <c r="L5" i="15" s="1"/>
  <c r="N5" i="12"/>
  <c r="M5" i="15" s="1"/>
  <c r="D6" i="12"/>
  <c r="C6" i="15" s="1"/>
  <c r="E6" i="12"/>
  <c r="D6" i="15" s="1"/>
  <c r="F6" i="12"/>
  <c r="E6" i="15" s="1"/>
  <c r="G6" i="12"/>
  <c r="F6" i="15" s="1"/>
  <c r="H6" i="12"/>
  <c r="G6" i="15" s="1"/>
  <c r="I6" i="12"/>
  <c r="H6" i="15" s="1"/>
  <c r="J6" i="12"/>
  <c r="I6" i="15" s="1"/>
  <c r="K6" i="12"/>
  <c r="J6" i="15" s="1"/>
  <c r="L6" i="12"/>
  <c r="K6" i="15" s="1"/>
  <c r="M6" i="12"/>
  <c r="L6" i="15" s="1"/>
  <c r="N6" i="12"/>
  <c r="M6" i="15" s="1"/>
  <c r="D7" i="12"/>
  <c r="C7" i="15" s="1"/>
  <c r="E7" i="12"/>
  <c r="D7" i="15" s="1"/>
  <c r="F7" i="12"/>
  <c r="E7" i="15" s="1"/>
  <c r="G7" i="12"/>
  <c r="F7" i="15" s="1"/>
  <c r="H7" i="12"/>
  <c r="G7" i="15" s="1"/>
  <c r="I7" i="12"/>
  <c r="H7" i="15" s="1"/>
  <c r="J7" i="12"/>
  <c r="I7" i="15" s="1"/>
  <c r="K7" i="12"/>
  <c r="J7" i="15" s="1"/>
  <c r="L7" i="12"/>
  <c r="K7" i="15" s="1"/>
  <c r="M7" i="12"/>
  <c r="L7" i="15" s="1"/>
  <c r="N7" i="12"/>
  <c r="M7" i="15" s="1"/>
  <c r="C5" i="12"/>
  <c r="B5" i="15" s="1"/>
  <c r="C6" i="12"/>
  <c r="B6" i="15" s="1"/>
  <c r="C7" i="12"/>
  <c r="B7" i="15" s="1"/>
  <c r="C4" i="12"/>
  <c r="B4" i="15" s="1"/>
  <c r="D47" i="1"/>
  <c r="E47" i="1"/>
  <c r="F47" i="1"/>
  <c r="G47" i="1"/>
  <c r="H47" i="1"/>
  <c r="I47" i="1"/>
  <c r="J47" i="1"/>
  <c r="K47" i="1"/>
  <c r="L47" i="1"/>
  <c r="M47" i="1"/>
  <c r="N47" i="1"/>
  <c r="C47" i="1"/>
  <c r="O47" i="1" s="1"/>
  <c r="O46" i="1"/>
  <c r="O45" i="1"/>
  <c r="D45" i="1"/>
  <c r="E45" i="1"/>
  <c r="F45" i="1"/>
  <c r="G45" i="1"/>
  <c r="H45" i="1"/>
  <c r="I45" i="1"/>
  <c r="J45" i="1"/>
  <c r="K45" i="1"/>
  <c r="L45" i="1"/>
  <c r="M45" i="1"/>
  <c r="N45" i="1"/>
  <c r="C45" i="1"/>
  <c r="D33" i="1"/>
  <c r="E33" i="1"/>
  <c r="F33" i="1"/>
  <c r="G33" i="1"/>
  <c r="H33" i="1"/>
  <c r="I33" i="1"/>
  <c r="J33" i="1"/>
  <c r="K33" i="1"/>
  <c r="L33" i="1"/>
  <c r="M33" i="1"/>
  <c r="N33" i="1"/>
  <c r="O33" i="1"/>
  <c r="C33" i="1"/>
  <c r="D26" i="1"/>
  <c r="E26" i="1"/>
  <c r="F26" i="1"/>
  <c r="G26" i="1"/>
  <c r="H26" i="1"/>
  <c r="I26" i="1"/>
  <c r="J26" i="1"/>
  <c r="K26" i="1"/>
  <c r="L26" i="1"/>
  <c r="M26" i="1"/>
  <c r="N26" i="1"/>
  <c r="C26" i="1"/>
  <c r="O19" i="1"/>
  <c r="D19" i="1"/>
  <c r="E19" i="1"/>
  <c r="F19" i="1"/>
  <c r="G19" i="1"/>
  <c r="H19" i="1"/>
  <c r="I19" i="1"/>
  <c r="J19" i="1"/>
  <c r="K19" i="1"/>
  <c r="L19" i="1"/>
  <c r="M19" i="1"/>
  <c r="N19" i="1"/>
  <c r="C19" i="1"/>
  <c r="D15" i="1"/>
  <c r="E15" i="1"/>
  <c r="F15" i="1"/>
  <c r="G15" i="1"/>
  <c r="H15" i="1"/>
  <c r="I15" i="1"/>
  <c r="J15" i="1"/>
  <c r="K15" i="1"/>
  <c r="L15" i="1"/>
  <c r="M15" i="1"/>
  <c r="N15" i="1"/>
  <c r="O15" i="1"/>
  <c r="D14" i="1"/>
  <c r="E14" i="1"/>
  <c r="F14" i="1"/>
  <c r="G14" i="1"/>
  <c r="H14" i="1"/>
  <c r="I14" i="1"/>
  <c r="J14" i="1"/>
  <c r="K14" i="1"/>
  <c r="L14" i="1"/>
  <c r="M14" i="1"/>
  <c r="N14" i="1"/>
  <c r="O14" i="1"/>
  <c r="D8" i="1"/>
  <c r="E8" i="1"/>
  <c r="F8" i="1"/>
  <c r="G8" i="1"/>
  <c r="H8" i="1"/>
  <c r="I8" i="1"/>
  <c r="J8" i="1"/>
  <c r="K8" i="1"/>
  <c r="L8" i="1"/>
  <c r="M8" i="1"/>
  <c r="N8" i="1"/>
  <c r="O8" i="1"/>
  <c r="O5" i="1"/>
  <c r="O6" i="1"/>
  <c r="O7" i="1"/>
  <c r="O9" i="1"/>
  <c r="O10" i="1"/>
  <c r="O11" i="1"/>
  <c r="O12" i="1"/>
  <c r="O13" i="1"/>
  <c r="O16" i="1"/>
  <c r="O17" i="1"/>
  <c r="O18" i="1"/>
  <c r="O20" i="1"/>
  <c r="O21" i="1"/>
  <c r="O22" i="1"/>
  <c r="O23" i="1"/>
  <c r="O24" i="1"/>
  <c r="O25" i="1"/>
  <c r="O27" i="1"/>
  <c r="O28" i="1"/>
  <c r="O29" i="1"/>
  <c r="O30" i="1"/>
  <c r="O31" i="1"/>
  <c r="O32" i="1"/>
  <c r="O34" i="1"/>
  <c r="O35" i="1"/>
  <c r="O36" i="1"/>
  <c r="O37" i="1"/>
  <c r="O38" i="1"/>
  <c r="O39" i="1"/>
  <c r="O40" i="1"/>
  <c r="O41" i="1"/>
  <c r="O42" i="1"/>
  <c r="O43" i="1"/>
  <c r="O44" i="1"/>
  <c r="O4" i="1"/>
  <c r="C15" i="1"/>
  <c r="C14" i="1"/>
  <c r="C8" i="1"/>
  <c r="D3" i="1"/>
  <c r="E3" i="1"/>
  <c r="F3" i="1"/>
  <c r="G3" i="1"/>
  <c r="H3" i="1"/>
  <c r="I3" i="1"/>
  <c r="J3" i="1"/>
  <c r="K3" i="1"/>
  <c r="L3" i="1"/>
  <c r="M3" i="1"/>
  <c r="N3" i="1"/>
  <c r="O3" i="1"/>
  <c r="C3" i="1"/>
  <c r="O44" i="12"/>
  <c r="D46" i="9" s="1"/>
  <c r="O46" i="12"/>
  <c r="D48" i="9" s="1"/>
  <c r="C10" i="3"/>
  <c r="D10" i="3"/>
  <c r="E10" i="3"/>
  <c r="F10" i="3"/>
  <c r="G10" i="3"/>
  <c r="H10" i="3"/>
  <c r="I10" i="3"/>
  <c r="J10" i="3"/>
  <c r="K10" i="3"/>
  <c r="L10" i="3"/>
  <c r="M10" i="3"/>
  <c r="C9" i="3"/>
  <c r="C6" i="3"/>
  <c r="D6" i="3"/>
  <c r="E6" i="3"/>
  <c r="F6" i="3"/>
  <c r="G6" i="3"/>
  <c r="H6" i="3"/>
  <c r="I6" i="3"/>
  <c r="J6" i="3"/>
  <c r="K6" i="3"/>
  <c r="L6" i="3"/>
  <c r="M6" i="3"/>
  <c r="B6" i="3"/>
  <c r="B4" i="3"/>
  <c r="B22" i="9"/>
  <c r="C61" i="3"/>
  <c r="C62" i="3" s="1"/>
  <c r="C73" i="3" s="1"/>
  <c r="D61" i="3"/>
  <c r="D62" i="3" s="1"/>
  <c r="D73" i="3" s="1"/>
  <c r="E61" i="3"/>
  <c r="E62" i="3" s="1"/>
  <c r="E73" i="3" s="1"/>
  <c r="F61" i="3"/>
  <c r="F62" i="3" s="1"/>
  <c r="F73" i="3" s="1"/>
  <c r="G61" i="3"/>
  <c r="G62" i="3" s="1"/>
  <c r="G73" i="3" s="1"/>
  <c r="H61" i="3"/>
  <c r="H62" i="3" s="1"/>
  <c r="H73" i="3" s="1"/>
  <c r="I61" i="3"/>
  <c r="I62" i="3" s="1"/>
  <c r="I73" i="3" s="1"/>
  <c r="J61" i="3"/>
  <c r="K61" i="3"/>
  <c r="L61" i="3"/>
  <c r="M61" i="3"/>
  <c r="B61" i="3"/>
  <c r="B62" i="3" s="1"/>
  <c r="B73" i="3" s="1"/>
  <c r="C47" i="3"/>
  <c r="D47" i="3"/>
  <c r="F47" i="3"/>
  <c r="I47" i="3"/>
  <c r="J47" i="3"/>
  <c r="L47" i="3"/>
  <c r="M47" i="3"/>
  <c r="B47" i="3"/>
  <c r="H30" i="15" l="1"/>
  <c r="E3" i="15"/>
  <c r="F30" i="15"/>
  <c r="K3" i="15"/>
  <c r="J3" i="15"/>
  <c r="J45" i="15" s="1"/>
  <c r="M3" i="15"/>
  <c r="M45" i="15" s="1"/>
  <c r="F3" i="15"/>
  <c r="F45" i="15" s="1"/>
  <c r="C31" i="15"/>
  <c r="C30" i="15" s="1"/>
  <c r="B14" i="13"/>
  <c r="B16" i="14" s="1"/>
  <c r="H3" i="15"/>
  <c r="M11" i="15"/>
  <c r="E11" i="15"/>
  <c r="F11" i="15"/>
  <c r="K30" i="15"/>
  <c r="J30" i="15"/>
  <c r="I11" i="15"/>
  <c r="G30" i="15"/>
  <c r="H11" i="15"/>
  <c r="B11" i="15"/>
  <c r="J11" i="15"/>
  <c r="M30" i="15"/>
  <c r="E30" i="15"/>
  <c r="K11" i="15"/>
  <c r="C3" i="12"/>
  <c r="H16" i="7"/>
  <c r="G11" i="15"/>
  <c r="I3" i="15"/>
  <c r="I45" i="15" s="1"/>
  <c r="L3" i="15"/>
  <c r="L45" i="15" s="1"/>
  <c r="D3" i="15"/>
  <c r="D45" i="15" s="1"/>
  <c r="G3" i="15"/>
  <c r="J14" i="13"/>
  <c r="D16" i="14" s="1"/>
  <c r="C21" i="15"/>
  <c r="C11" i="15" s="1"/>
  <c r="L11" i="15"/>
  <c r="L30" i="15"/>
  <c r="D30" i="15"/>
  <c r="I30" i="15"/>
  <c r="C3" i="15"/>
  <c r="C8" i="12"/>
  <c r="B9" i="15" s="1"/>
  <c r="D11" i="15"/>
  <c r="B30" i="15"/>
  <c r="B3" i="15"/>
  <c r="H45" i="15"/>
  <c r="E45" i="15"/>
  <c r="C45" i="15"/>
  <c r="G45" i="15"/>
  <c r="K45" i="15"/>
  <c r="C33" i="12"/>
  <c r="B16" i="7"/>
  <c r="M17" i="13"/>
  <c r="D19" i="14" s="1"/>
  <c r="I15" i="7"/>
  <c r="I16" i="7"/>
  <c r="I35" i="7" s="1"/>
  <c r="J16" i="7"/>
  <c r="M15" i="7"/>
  <c r="N15" i="12"/>
  <c r="M10" i="15" s="1"/>
  <c r="J15" i="12"/>
  <c r="I10" i="15" s="1"/>
  <c r="F15" i="12"/>
  <c r="E10" i="15" s="1"/>
  <c r="C26" i="12"/>
  <c r="C16" i="7"/>
  <c r="I17" i="13"/>
  <c r="C19" i="14" s="1"/>
  <c r="F16" i="7"/>
  <c r="K16" i="7"/>
  <c r="C15" i="7"/>
  <c r="D16" i="7"/>
  <c r="G16" i="7"/>
  <c r="L16" i="7"/>
  <c r="E15" i="7"/>
  <c r="E16" i="7"/>
  <c r="E17" i="13"/>
  <c r="B19" i="14" s="1"/>
  <c r="G15" i="7"/>
  <c r="C17" i="14" s="1"/>
  <c r="K15" i="7"/>
  <c r="M16" i="7"/>
  <c r="B7" i="14"/>
  <c r="B11" i="3"/>
  <c r="B8" i="3" s="1"/>
  <c r="B46" i="3" s="1"/>
  <c r="J21" i="13"/>
  <c r="J26" i="13" s="1"/>
  <c r="F21" i="13"/>
  <c r="J35" i="13"/>
  <c r="C35" i="13"/>
  <c r="G35" i="13"/>
  <c r="H35" i="13"/>
  <c r="K8" i="12"/>
  <c r="J9" i="15" s="1"/>
  <c r="J40" i="15" s="1"/>
  <c r="G8" i="12"/>
  <c r="F9" i="15" s="1"/>
  <c r="F40" i="15" s="1"/>
  <c r="O31" i="12"/>
  <c r="D33" i="9" s="1"/>
  <c r="N3" i="12"/>
  <c r="M39" i="15" s="1"/>
  <c r="J3" i="12"/>
  <c r="F3" i="12"/>
  <c r="E39" i="15" s="1"/>
  <c r="M3" i="12"/>
  <c r="I3" i="12"/>
  <c r="E3" i="12"/>
  <c r="M8" i="12"/>
  <c r="L9" i="15" s="1"/>
  <c r="I8" i="12"/>
  <c r="H9" i="15" s="1"/>
  <c r="E8" i="12"/>
  <c r="D9" i="15" s="1"/>
  <c r="K15" i="12"/>
  <c r="G15" i="12"/>
  <c r="F10" i="15" s="1"/>
  <c r="M15" i="12"/>
  <c r="L10" i="15" s="1"/>
  <c r="I15" i="12"/>
  <c r="H10" i="15" s="1"/>
  <c r="E15" i="12"/>
  <c r="D10" i="15" s="1"/>
  <c r="O41" i="12"/>
  <c r="D43" i="9" s="1"/>
  <c r="C19" i="12"/>
  <c r="K3" i="12"/>
  <c r="J39" i="15" s="1"/>
  <c r="G3" i="12"/>
  <c r="L3" i="12"/>
  <c r="K39" i="15" s="1"/>
  <c r="H3" i="12"/>
  <c r="D3" i="12"/>
  <c r="O11" i="12"/>
  <c r="D13" i="9" s="1"/>
  <c r="N8" i="12"/>
  <c r="M9" i="15" s="1"/>
  <c r="M40" i="15" s="1"/>
  <c r="J8" i="12"/>
  <c r="I9" i="15" s="1"/>
  <c r="I8" i="15" s="1"/>
  <c r="F8" i="12"/>
  <c r="E9" i="15" s="1"/>
  <c r="E40" i="15" s="1"/>
  <c r="L8" i="12"/>
  <c r="K9" i="15" s="1"/>
  <c r="H8" i="12"/>
  <c r="G9" i="15" s="1"/>
  <c r="G40" i="15" s="1"/>
  <c r="D8" i="12"/>
  <c r="C9" i="15" s="1"/>
  <c r="C40" i="15" s="1"/>
  <c r="L15" i="12"/>
  <c r="K10" i="15" s="1"/>
  <c r="H15" i="12"/>
  <c r="G10" i="15" s="1"/>
  <c r="D15" i="12"/>
  <c r="O36" i="12"/>
  <c r="D38" i="9" s="1"/>
  <c r="O27" i="12"/>
  <c r="D29" i="9" s="1"/>
  <c r="O25" i="12"/>
  <c r="D27" i="9" s="1"/>
  <c r="K19" i="12"/>
  <c r="G19" i="12"/>
  <c r="N19" i="12"/>
  <c r="J19" i="12"/>
  <c r="F19" i="12"/>
  <c r="D19" i="12"/>
  <c r="O5" i="12"/>
  <c r="D7" i="9" s="1"/>
  <c r="O10" i="12"/>
  <c r="D12" i="9" s="1"/>
  <c r="K33" i="12"/>
  <c r="G33" i="12"/>
  <c r="O23" i="12"/>
  <c r="D25" i="9" s="1"/>
  <c r="O21" i="12"/>
  <c r="D23" i="9" s="1"/>
  <c r="O24" i="12"/>
  <c r="D26" i="9" s="1"/>
  <c r="L19" i="12"/>
  <c r="O20" i="12"/>
  <c r="D22" i="9" s="1"/>
  <c r="O6" i="12"/>
  <c r="D8" i="9" s="1"/>
  <c r="O13" i="12"/>
  <c r="D15" i="9" s="1"/>
  <c r="O12" i="12"/>
  <c r="D14" i="9" s="1"/>
  <c r="O9" i="12"/>
  <c r="O16" i="12"/>
  <c r="O18" i="12"/>
  <c r="D20" i="9" s="1"/>
  <c r="O17" i="12"/>
  <c r="D19" i="9" s="1"/>
  <c r="O40" i="12"/>
  <c r="D42" i="9" s="1"/>
  <c r="M33" i="12"/>
  <c r="I33" i="12"/>
  <c r="E33" i="12"/>
  <c r="L33" i="12"/>
  <c r="H33" i="12"/>
  <c r="D33" i="12"/>
  <c r="O35" i="12"/>
  <c r="D37" i="9" s="1"/>
  <c r="N33" i="12"/>
  <c r="J33" i="12"/>
  <c r="F33" i="12"/>
  <c r="L26" i="12"/>
  <c r="H26" i="12"/>
  <c r="D26" i="12"/>
  <c r="H19" i="12"/>
  <c r="O42" i="12"/>
  <c r="D44" i="9" s="1"/>
  <c r="O38" i="12"/>
  <c r="D40" i="9" s="1"/>
  <c r="O34" i="12"/>
  <c r="D36" i="9" s="1"/>
  <c r="O43" i="12"/>
  <c r="D45" i="9" s="1"/>
  <c r="O39" i="12"/>
  <c r="D41" i="9" s="1"/>
  <c r="O37" i="12"/>
  <c r="D39" i="9" s="1"/>
  <c r="O32" i="12"/>
  <c r="D34" i="9" s="1"/>
  <c r="N26" i="12"/>
  <c r="J26" i="12"/>
  <c r="F26" i="12"/>
  <c r="M26" i="12"/>
  <c r="I26" i="12"/>
  <c r="E26" i="12"/>
  <c r="O28" i="12"/>
  <c r="D30" i="9" s="1"/>
  <c r="K26" i="12"/>
  <c r="G26" i="12"/>
  <c r="M19" i="12"/>
  <c r="I19" i="12"/>
  <c r="E19" i="12"/>
  <c r="O29" i="12"/>
  <c r="D31" i="9" s="1"/>
  <c r="O30" i="12"/>
  <c r="D32" i="9" s="1"/>
  <c r="O22" i="12"/>
  <c r="D24" i="9" s="1"/>
  <c r="C15" i="12"/>
  <c r="O7" i="12"/>
  <c r="D9" i="9" s="1"/>
  <c r="O4" i="12"/>
  <c r="O26" i="1"/>
  <c r="B31" i="3"/>
  <c r="E31" i="3"/>
  <c r="F31" i="3"/>
  <c r="G31" i="3"/>
  <c r="H31" i="3"/>
  <c r="I31" i="3"/>
  <c r="J31" i="3"/>
  <c r="K31" i="3"/>
  <c r="L31" i="3"/>
  <c r="M31" i="3"/>
  <c r="A31" i="3"/>
  <c r="J62" i="3"/>
  <c r="J73" i="3" s="1"/>
  <c r="K62" i="3"/>
  <c r="K73" i="3" s="1"/>
  <c r="L62" i="3"/>
  <c r="L73" i="3" s="1"/>
  <c r="M62" i="3"/>
  <c r="M73" i="3" s="1"/>
  <c r="B13" i="3"/>
  <c r="D9" i="3"/>
  <c r="E9" i="3"/>
  <c r="F9" i="3"/>
  <c r="G9" i="3"/>
  <c r="H9" i="3"/>
  <c r="I9" i="3"/>
  <c r="J9" i="3"/>
  <c r="K9" i="3"/>
  <c r="L9" i="3"/>
  <c r="M9" i="3"/>
  <c r="B9" i="3"/>
  <c r="C4" i="3"/>
  <c r="D4" i="3"/>
  <c r="E4" i="3"/>
  <c r="F4" i="3"/>
  <c r="G4" i="3"/>
  <c r="H4" i="3"/>
  <c r="I4" i="3"/>
  <c r="J4" i="3"/>
  <c r="K4" i="3"/>
  <c r="L4" i="3"/>
  <c r="M4" i="3"/>
  <c r="C5" i="3"/>
  <c r="D5" i="3"/>
  <c r="E5" i="3"/>
  <c r="F5" i="3"/>
  <c r="G5" i="3"/>
  <c r="H5" i="3"/>
  <c r="I5" i="3"/>
  <c r="J5" i="3"/>
  <c r="K5" i="3"/>
  <c r="L5" i="3"/>
  <c r="M5" i="3"/>
  <c r="C7" i="3"/>
  <c r="D7" i="3"/>
  <c r="E7" i="3"/>
  <c r="F7" i="3"/>
  <c r="G7" i="3"/>
  <c r="H7" i="3"/>
  <c r="I7" i="3"/>
  <c r="J7" i="3"/>
  <c r="K7" i="3"/>
  <c r="L7" i="3"/>
  <c r="M7" i="3"/>
  <c r="B7" i="3"/>
  <c r="B5" i="3"/>
  <c r="B12" i="3"/>
  <c r="E32" i="3"/>
  <c r="F32" i="3"/>
  <c r="G32" i="3"/>
  <c r="H32" i="3"/>
  <c r="I32" i="3"/>
  <c r="J32" i="3"/>
  <c r="K32" i="3"/>
  <c r="L32" i="3"/>
  <c r="M32" i="3"/>
  <c r="E33" i="3"/>
  <c r="F33" i="3"/>
  <c r="G33" i="3"/>
  <c r="H33" i="3"/>
  <c r="I33" i="3"/>
  <c r="J33" i="3"/>
  <c r="K33" i="3"/>
  <c r="L33" i="3"/>
  <c r="M33" i="3"/>
  <c r="E34" i="3"/>
  <c r="F34" i="3"/>
  <c r="G34" i="3"/>
  <c r="H34" i="3"/>
  <c r="I34" i="3"/>
  <c r="J34" i="3"/>
  <c r="K34" i="3"/>
  <c r="L34" i="3"/>
  <c r="M34" i="3"/>
  <c r="B32" i="3"/>
  <c r="B33" i="3"/>
  <c r="B34" i="3"/>
  <c r="A34" i="3"/>
  <c r="A33" i="3"/>
  <c r="A32" i="3"/>
  <c r="A12" i="3"/>
  <c r="A28" i="3"/>
  <c r="A29" i="3"/>
  <c r="A26" i="3"/>
  <c r="A27" i="3"/>
  <c r="A22" i="3"/>
  <c r="A23" i="3"/>
  <c r="A24" i="3"/>
  <c r="A25" i="3"/>
  <c r="A21" i="3"/>
  <c r="A16" i="3"/>
  <c r="A17" i="3"/>
  <c r="A18" i="3"/>
  <c r="A19" i="3"/>
  <c r="A20" i="3"/>
  <c r="A15" i="3"/>
  <c r="A14" i="3"/>
  <c r="A13" i="3"/>
  <c r="B10" i="3"/>
  <c r="C6" i="9"/>
  <c r="C7" i="9"/>
  <c r="C8" i="9"/>
  <c r="C9" i="9"/>
  <c r="C11" i="9"/>
  <c r="C12" i="9"/>
  <c r="C13" i="9"/>
  <c r="C14" i="9"/>
  <c r="C15" i="9"/>
  <c r="C18" i="9"/>
  <c r="C19" i="9"/>
  <c r="C20" i="9"/>
  <c r="C22" i="9"/>
  <c r="C23" i="9"/>
  <c r="C24" i="9"/>
  <c r="C25" i="9"/>
  <c r="C26" i="9"/>
  <c r="C27" i="9"/>
  <c r="C29" i="9"/>
  <c r="C30" i="9"/>
  <c r="C31" i="9"/>
  <c r="C32" i="9"/>
  <c r="C33" i="9"/>
  <c r="C34" i="9"/>
  <c r="C36" i="9"/>
  <c r="C37" i="9"/>
  <c r="C38" i="9"/>
  <c r="C39" i="9"/>
  <c r="C40" i="9"/>
  <c r="C41" i="9"/>
  <c r="C42" i="9"/>
  <c r="C43" i="9"/>
  <c r="C44" i="9"/>
  <c r="C45" i="9"/>
  <c r="C46" i="9"/>
  <c r="C48" i="9"/>
  <c r="D8" i="15" l="1"/>
  <c r="D46" i="15" s="1"/>
  <c r="D12" i="7"/>
  <c r="B14" i="14" s="1"/>
  <c r="G8" i="15"/>
  <c r="G46" i="15" s="1"/>
  <c r="F8" i="15"/>
  <c r="F46" i="15" s="1"/>
  <c r="F48" i="15" s="1"/>
  <c r="F72" i="15" s="1"/>
  <c r="F39" i="15"/>
  <c r="K8" i="15"/>
  <c r="K46" i="15" s="1"/>
  <c r="K40" i="15"/>
  <c r="K14" i="12"/>
  <c r="K45" i="12" s="1"/>
  <c r="K47" i="12" s="1"/>
  <c r="H8" i="15"/>
  <c r="H46" i="15" s="1"/>
  <c r="B21" i="13"/>
  <c r="B26" i="13" s="1"/>
  <c r="L8" i="15"/>
  <c r="L40" i="15"/>
  <c r="H40" i="15"/>
  <c r="C39" i="15"/>
  <c r="G39" i="15"/>
  <c r="H41" i="15" s="1"/>
  <c r="H47" i="15" s="1"/>
  <c r="B10" i="15"/>
  <c r="B8" i="15" s="1"/>
  <c r="E13" i="13"/>
  <c r="B15" i="14" s="1"/>
  <c r="I40" i="15"/>
  <c r="C10" i="15"/>
  <c r="C8" i="15" s="1"/>
  <c r="C46" i="15" s="1"/>
  <c r="C48" i="15" s="1"/>
  <c r="C72" i="15" s="1"/>
  <c r="I13" i="13"/>
  <c r="C15" i="14" s="1"/>
  <c r="D39" i="15"/>
  <c r="E8" i="15"/>
  <c r="E46" i="15" s="1"/>
  <c r="M8" i="15"/>
  <c r="L39" i="15"/>
  <c r="N41" i="15" s="1"/>
  <c r="D21" i="7"/>
  <c r="D26" i="7" s="1"/>
  <c r="J10" i="15"/>
  <c r="J8" i="15" s="1"/>
  <c r="M13" i="13"/>
  <c r="J14" i="12"/>
  <c r="B45" i="15"/>
  <c r="B39" i="15"/>
  <c r="I39" i="15"/>
  <c r="H39" i="15"/>
  <c r="G14" i="12"/>
  <c r="G45" i="12" s="1"/>
  <c r="G47" i="12" s="1"/>
  <c r="N14" i="12"/>
  <c r="D22" i="7"/>
  <c r="B11" i="7"/>
  <c r="B13" i="14" s="1"/>
  <c r="D40" i="15"/>
  <c r="C35" i="7"/>
  <c r="B17" i="14"/>
  <c r="E35" i="7"/>
  <c r="H35" i="15"/>
  <c r="B40" i="15"/>
  <c r="G35" i="15"/>
  <c r="F35" i="15"/>
  <c r="D35" i="15"/>
  <c r="G48" i="15"/>
  <c r="G72" i="15" s="1"/>
  <c r="D48" i="15"/>
  <c r="D72" i="15" s="1"/>
  <c r="L46" i="15"/>
  <c r="L48" i="15" s="1"/>
  <c r="L72" i="15" s="1"/>
  <c r="L35" i="15"/>
  <c r="I46" i="15"/>
  <c r="I48" i="15" s="1"/>
  <c r="I72" i="15" s="1"/>
  <c r="I35" i="15"/>
  <c r="M46" i="15"/>
  <c r="M48" i="15" s="1"/>
  <c r="M72" i="15" s="1"/>
  <c r="M35" i="15"/>
  <c r="E35" i="15"/>
  <c r="I21" i="13"/>
  <c r="I26" i="13" s="1"/>
  <c r="L12" i="7"/>
  <c r="D14" i="14" s="1"/>
  <c r="J11" i="7"/>
  <c r="D13" i="14" s="1"/>
  <c r="B18" i="14"/>
  <c r="D18" i="14"/>
  <c r="H12" i="7"/>
  <c r="C14" i="14" s="1"/>
  <c r="F11" i="7"/>
  <c r="C13" i="14" s="1"/>
  <c r="C18" i="14"/>
  <c r="M35" i="7"/>
  <c r="B35" i="7"/>
  <c r="D17" i="14"/>
  <c r="E14" i="12"/>
  <c r="E45" i="12" s="1"/>
  <c r="E47" i="12" s="1"/>
  <c r="J8" i="13"/>
  <c r="J8" i="7"/>
  <c r="F8" i="7"/>
  <c r="F8" i="13"/>
  <c r="C14" i="12"/>
  <c r="C45" i="12" s="1"/>
  <c r="C47" i="12" s="1"/>
  <c r="B8" i="7"/>
  <c r="B25" i="7" s="1"/>
  <c r="B8" i="13"/>
  <c r="B25" i="13" s="1"/>
  <c r="F26" i="13"/>
  <c r="L14" i="12"/>
  <c r="L45" i="12" s="1"/>
  <c r="L47" i="12" s="1"/>
  <c r="F14" i="12"/>
  <c r="F45" i="12"/>
  <c r="F47" i="12" s="1"/>
  <c r="H14" i="12"/>
  <c r="H45" i="12" s="1"/>
  <c r="H47" i="12" s="1"/>
  <c r="M14" i="12"/>
  <c r="M45" i="12" s="1"/>
  <c r="M47" i="12" s="1"/>
  <c r="O26" i="12"/>
  <c r="D28" i="9" s="1"/>
  <c r="O33" i="12"/>
  <c r="D35" i="9" s="1"/>
  <c r="D14" i="12"/>
  <c r="D45" i="12" s="1"/>
  <c r="D47" i="12" s="1"/>
  <c r="I14" i="12"/>
  <c r="I45" i="12" s="1"/>
  <c r="I47" i="12" s="1"/>
  <c r="O19" i="12"/>
  <c r="D21" i="9" s="1"/>
  <c r="J45" i="12"/>
  <c r="J47" i="12" s="1"/>
  <c r="O3" i="12"/>
  <c r="D6" i="9"/>
  <c r="D18" i="9"/>
  <c r="O15" i="12"/>
  <c r="D17" i="9" s="1"/>
  <c r="O8" i="12"/>
  <c r="D11" i="9"/>
  <c r="N45" i="12"/>
  <c r="N47" i="12" s="1"/>
  <c r="B3" i="3"/>
  <c r="M3" i="3"/>
  <c r="I3" i="3"/>
  <c r="E3" i="3"/>
  <c r="C11" i="3"/>
  <c r="N10" i="3" s="1"/>
  <c r="L3" i="3"/>
  <c r="H3" i="3"/>
  <c r="D3" i="3"/>
  <c r="K3" i="3"/>
  <c r="G3" i="3"/>
  <c r="C3" i="3"/>
  <c r="J3" i="3"/>
  <c r="F3" i="3"/>
  <c r="B30" i="3"/>
  <c r="L30" i="3"/>
  <c r="H30" i="3"/>
  <c r="K11" i="3"/>
  <c r="K40" i="3" s="1"/>
  <c r="G11" i="3"/>
  <c r="L11" i="3"/>
  <c r="L8" i="3" s="1"/>
  <c r="H11" i="3"/>
  <c r="H40" i="3" s="1"/>
  <c r="D11" i="3"/>
  <c r="D40" i="3" s="1"/>
  <c r="K30" i="3"/>
  <c r="G30" i="3"/>
  <c r="C30" i="3"/>
  <c r="J11" i="3"/>
  <c r="J40" i="3" s="1"/>
  <c r="F11" i="3"/>
  <c r="J30" i="3"/>
  <c r="F30" i="3"/>
  <c r="C35" i="9"/>
  <c r="C5" i="9"/>
  <c r="B40" i="3"/>
  <c r="M11" i="3"/>
  <c r="I11" i="3"/>
  <c r="I40" i="3" s="1"/>
  <c r="E11" i="3"/>
  <c r="C28" i="9"/>
  <c r="C10" i="9"/>
  <c r="M30" i="3"/>
  <c r="I30" i="3"/>
  <c r="E30" i="3"/>
  <c r="D30" i="3"/>
  <c r="C21" i="9"/>
  <c r="C17" i="9"/>
  <c r="E19" i="7"/>
  <c r="C19" i="7"/>
  <c r="C21" i="7" s="1"/>
  <c r="B19" i="7"/>
  <c r="K35" i="15" l="1"/>
  <c r="B46" i="15"/>
  <c r="B48" i="15" s="1"/>
  <c r="B72" i="15" s="1"/>
  <c r="B74" i="15" s="1"/>
  <c r="B35" i="15"/>
  <c r="E21" i="13"/>
  <c r="E26" i="13" s="1"/>
  <c r="H35" i="7"/>
  <c r="K41" i="15"/>
  <c r="K47" i="15" s="1"/>
  <c r="K48" i="15" s="1"/>
  <c r="K72" i="15" s="1"/>
  <c r="H48" i="15"/>
  <c r="H72" i="15" s="1"/>
  <c r="J46" i="15"/>
  <c r="J48" i="15" s="1"/>
  <c r="J72" i="15" s="1"/>
  <c r="J35" i="15"/>
  <c r="F34" i="7"/>
  <c r="C35" i="15"/>
  <c r="D15" i="14"/>
  <c r="D23" i="14" s="1"/>
  <c r="M21" i="13"/>
  <c r="M26" i="13" s="1"/>
  <c r="B49" i="15"/>
  <c r="C49" i="15" s="1"/>
  <c r="D49" i="15" s="1"/>
  <c r="E41" i="15"/>
  <c r="E47" i="15" s="1"/>
  <c r="E48" i="15" s="1"/>
  <c r="E72" i="15" s="1"/>
  <c r="C23" i="14"/>
  <c r="K8" i="7"/>
  <c r="L8" i="7" s="1"/>
  <c r="M8" i="7" s="1"/>
  <c r="G8" i="13"/>
  <c r="F25" i="13"/>
  <c r="F27" i="13" s="1"/>
  <c r="F34" i="13"/>
  <c r="K8" i="13"/>
  <c r="J34" i="13"/>
  <c r="J25" i="13"/>
  <c r="J27" i="13" s="1"/>
  <c r="G8" i="7"/>
  <c r="H8" i="7" s="1"/>
  <c r="I8" i="7" s="1"/>
  <c r="B21" i="14"/>
  <c r="B23" i="14" s="1"/>
  <c r="B21" i="7"/>
  <c r="B34" i="7"/>
  <c r="B27" i="13"/>
  <c r="B29" i="13" s="1"/>
  <c r="C7" i="13" s="1"/>
  <c r="C24" i="13" s="1"/>
  <c r="K41" i="3"/>
  <c r="B34" i="13"/>
  <c r="B36" i="13" s="1"/>
  <c r="C8" i="13"/>
  <c r="M21" i="7"/>
  <c r="J34" i="7"/>
  <c r="I21" i="7"/>
  <c r="I26" i="7" s="1"/>
  <c r="F35" i="7"/>
  <c r="D10" i="9"/>
  <c r="O14" i="12"/>
  <c r="O45" i="12" s="1"/>
  <c r="D47" i="9" s="1"/>
  <c r="D5" i="9"/>
  <c r="Y5" i="9" s="1"/>
  <c r="C16" i="9"/>
  <c r="E21" i="7"/>
  <c r="E26" i="7" s="1"/>
  <c r="M8" i="3"/>
  <c r="F21" i="7"/>
  <c r="H21" i="7"/>
  <c r="H26" i="7" s="1"/>
  <c r="L40" i="3"/>
  <c r="N41" i="3" s="1"/>
  <c r="G8" i="3"/>
  <c r="C26" i="7"/>
  <c r="E8" i="3"/>
  <c r="F8" i="3"/>
  <c r="I8" i="3"/>
  <c r="D8" i="3"/>
  <c r="H8" i="3"/>
  <c r="F40" i="3"/>
  <c r="G40" i="3"/>
  <c r="G35" i="7"/>
  <c r="G21" i="7"/>
  <c r="G26" i="7" s="1"/>
  <c r="C8" i="3"/>
  <c r="C46" i="3" s="1"/>
  <c r="C40" i="3"/>
  <c r="J8" i="3"/>
  <c r="K8" i="3"/>
  <c r="K35" i="7"/>
  <c r="K21" i="7"/>
  <c r="K26" i="7" s="1"/>
  <c r="J21" i="7"/>
  <c r="J35" i="7"/>
  <c r="E40" i="3"/>
  <c r="H41" i="3" s="1"/>
  <c r="H47" i="3" s="1"/>
  <c r="M40" i="3"/>
  <c r="L21" i="7"/>
  <c r="L26" i="7" s="1"/>
  <c r="L35" i="7"/>
  <c r="B35" i="3"/>
  <c r="D35" i="7"/>
  <c r="B36" i="14" s="1"/>
  <c r="C8" i="7"/>
  <c r="B39" i="3"/>
  <c r="B45" i="3"/>
  <c r="C36" i="14" l="1"/>
  <c r="C9" i="14"/>
  <c r="D9" i="14"/>
  <c r="C71" i="15"/>
  <c r="C74" i="15" s="1"/>
  <c r="D71" i="15" s="1"/>
  <c r="D74" i="15" s="1"/>
  <c r="E71" i="15" s="1"/>
  <c r="E74" i="15" s="1"/>
  <c r="F71" i="15" s="1"/>
  <c r="F74" i="15" s="1"/>
  <c r="G71" i="15" s="1"/>
  <c r="G74" i="15" s="1"/>
  <c r="H71" i="15" s="1"/>
  <c r="H74" i="15" s="1"/>
  <c r="I71" i="15" s="1"/>
  <c r="I74" i="15" s="1"/>
  <c r="J71" i="15" s="1"/>
  <c r="J74" i="15" s="1"/>
  <c r="K71" i="15" s="1"/>
  <c r="K74" i="15" s="1"/>
  <c r="L71" i="15" s="1"/>
  <c r="L74" i="15" s="1"/>
  <c r="M71" i="15" s="1"/>
  <c r="M74" i="15" s="1"/>
  <c r="M77" i="15" s="1"/>
  <c r="E49" i="15"/>
  <c r="F49" i="15" s="1"/>
  <c r="G49" i="15" s="1"/>
  <c r="H49" i="15" s="1"/>
  <c r="I49" i="15" s="1"/>
  <c r="J49" i="15" s="1"/>
  <c r="K49" i="15" s="1"/>
  <c r="L49" i="15" s="1"/>
  <c r="M49" i="15" s="1"/>
  <c r="D36" i="14"/>
  <c r="B36" i="7"/>
  <c r="L8" i="13"/>
  <c r="K25" i="13"/>
  <c r="K27" i="13" s="1"/>
  <c r="K34" i="13"/>
  <c r="H8" i="13"/>
  <c r="G25" i="13"/>
  <c r="G27" i="13" s="1"/>
  <c r="G34" i="13"/>
  <c r="C25" i="13"/>
  <c r="C34" i="13"/>
  <c r="C36" i="13" s="1"/>
  <c r="D8" i="13"/>
  <c r="C34" i="7"/>
  <c r="F26" i="7"/>
  <c r="J26" i="7"/>
  <c r="D16" i="9"/>
  <c r="O47" i="12"/>
  <c r="D49" i="9" s="1"/>
  <c r="C47" i="9"/>
  <c r="M26" i="7"/>
  <c r="B26" i="7"/>
  <c r="B27" i="7" s="1"/>
  <c r="B29" i="7" s="1"/>
  <c r="C7" i="7" s="1"/>
  <c r="C9" i="7" s="1"/>
  <c r="C25" i="7"/>
  <c r="C27" i="7" s="1"/>
  <c r="D8" i="7"/>
  <c r="C36" i="7" l="1"/>
  <c r="M8" i="13"/>
  <c r="L25" i="13"/>
  <c r="L27" i="13" s="1"/>
  <c r="L34" i="13"/>
  <c r="I8" i="13"/>
  <c r="H34" i="13"/>
  <c r="H25" i="13"/>
  <c r="H27" i="13" s="1"/>
  <c r="F32" i="7"/>
  <c r="C27" i="13"/>
  <c r="C29" i="13" s="1"/>
  <c r="D27" i="14"/>
  <c r="C27" i="14"/>
  <c r="D34" i="13"/>
  <c r="D36" i="13" s="1"/>
  <c r="E8" i="13"/>
  <c r="D25" i="13"/>
  <c r="D27" i="13" s="1"/>
  <c r="B27" i="14"/>
  <c r="C49" i="9"/>
  <c r="D25" i="7"/>
  <c r="D27" i="7" s="1"/>
  <c r="D34" i="7"/>
  <c r="E8" i="7"/>
  <c r="E34" i="7" s="1"/>
  <c r="B74" i="3"/>
  <c r="C71" i="3" s="1"/>
  <c r="D36" i="7" l="1"/>
  <c r="I34" i="13"/>
  <c r="I25" i="13"/>
  <c r="I27" i="13" s="1"/>
  <c r="M34" i="13"/>
  <c r="M25" i="13"/>
  <c r="M27" i="13" s="1"/>
  <c r="C10" i="14"/>
  <c r="C8" i="14" s="1"/>
  <c r="D10" i="14"/>
  <c r="D8" i="14" s="1"/>
  <c r="B10" i="14"/>
  <c r="E34" i="13"/>
  <c r="E36" i="13" s="1"/>
  <c r="F36" i="13" s="1"/>
  <c r="G36" i="13" s="1"/>
  <c r="H36" i="13" s="1"/>
  <c r="E25" i="13"/>
  <c r="E27" i="13" s="1"/>
  <c r="B9" i="14"/>
  <c r="E25" i="7"/>
  <c r="E27" i="7" s="1"/>
  <c r="C31" i="7" s="1"/>
  <c r="B31" i="7" s="1"/>
  <c r="E36" i="7"/>
  <c r="F36" i="7" s="1"/>
  <c r="B8" i="14" l="1"/>
  <c r="B11" i="14" s="1"/>
  <c r="I36" i="13"/>
  <c r="J36" i="13" s="1"/>
  <c r="K36" i="13" s="1"/>
  <c r="L36" i="13" s="1"/>
  <c r="M36" i="13" s="1"/>
  <c r="B35" i="14"/>
  <c r="B37" i="14" s="1"/>
  <c r="B26" i="14"/>
  <c r="F31" i="7"/>
  <c r="B28" i="14" l="1"/>
  <c r="B30" i="14" s="1"/>
  <c r="C7" i="14" s="1"/>
  <c r="C11" i="14" s="1"/>
  <c r="F25" i="7"/>
  <c r="C39" i="3"/>
  <c r="C45" i="3"/>
  <c r="J25" i="7"/>
  <c r="B32" i="14" l="1"/>
  <c r="J27" i="7"/>
  <c r="F27" i="7"/>
  <c r="G34" i="7"/>
  <c r="H34" i="7"/>
  <c r="G25" i="7"/>
  <c r="G27" i="7" s="1"/>
  <c r="D39" i="3"/>
  <c r="E41" i="3" s="1"/>
  <c r="D45" i="3"/>
  <c r="G36" i="7" l="1"/>
  <c r="H36" i="7" s="1"/>
  <c r="H25" i="7"/>
  <c r="H27" i="7" s="1"/>
  <c r="E39" i="3"/>
  <c r="E45" i="3"/>
  <c r="I34" i="7" l="1"/>
  <c r="I25" i="7"/>
  <c r="F39" i="3"/>
  <c r="F45" i="3"/>
  <c r="I36" i="7" l="1"/>
  <c r="J36" i="7" s="1"/>
  <c r="C35" i="14"/>
  <c r="C37" i="14" s="1"/>
  <c r="I27" i="7"/>
  <c r="C26" i="14"/>
  <c r="C28" i="14" s="1"/>
  <c r="K34" i="7"/>
  <c r="L34" i="7"/>
  <c r="K25" i="7"/>
  <c r="G39" i="3"/>
  <c r="G45" i="3"/>
  <c r="K36" i="7" l="1"/>
  <c r="L36" i="7" s="1"/>
  <c r="K27" i="7"/>
  <c r="L25" i="7"/>
  <c r="L27" i="7" s="1"/>
  <c r="H39" i="3"/>
  <c r="H45" i="3"/>
  <c r="M34" i="7" l="1"/>
  <c r="M25" i="7"/>
  <c r="M27" i="7" s="1"/>
  <c r="I39" i="3"/>
  <c r="I45" i="3"/>
  <c r="M36" i="7" l="1"/>
  <c r="D35" i="14"/>
  <c r="D37" i="14" s="1"/>
  <c r="E37" i="14" s="1"/>
  <c r="D26" i="14"/>
  <c r="D28" i="14" s="1"/>
  <c r="J39" i="3"/>
  <c r="J45" i="3"/>
  <c r="K39" i="3" l="1"/>
  <c r="K45" i="3"/>
  <c r="M39" i="3" l="1"/>
  <c r="M45" i="3"/>
  <c r="L39" i="3"/>
  <c r="L45" i="3"/>
  <c r="H46" i="3" l="1"/>
  <c r="H48" i="3" s="1"/>
  <c r="H72" i="3" s="1"/>
  <c r="K46" i="3"/>
  <c r="G46" i="3"/>
  <c r="J46" i="3"/>
  <c r="J48" i="3" s="1"/>
  <c r="J72" i="3" s="1"/>
  <c r="M46" i="3"/>
  <c r="M48" i="3" s="1"/>
  <c r="M72" i="3" s="1"/>
  <c r="F46" i="3"/>
  <c r="F48" i="3" s="1"/>
  <c r="F72" i="3" s="1"/>
  <c r="I46" i="3"/>
  <c r="I48" i="3" s="1"/>
  <c r="I72" i="3" s="1"/>
  <c r="E46" i="3"/>
  <c r="D46" i="3"/>
  <c r="D48" i="3" l="1"/>
  <c r="D72" i="3" s="1"/>
  <c r="C48" i="3"/>
  <c r="C72" i="3" s="1"/>
  <c r="C74" i="3" s="1"/>
  <c r="L35" i="3"/>
  <c r="L46" i="3"/>
  <c r="L48" i="3" s="1"/>
  <c r="L72" i="3" s="1"/>
  <c r="E35" i="3"/>
  <c r="I35" i="3"/>
  <c r="M35" i="3"/>
  <c r="H35" i="3"/>
  <c r="K35" i="3"/>
  <c r="C35" i="3"/>
  <c r="J35" i="3"/>
  <c r="F35" i="3"/>
  <c r="D35" i="3"/>
  <c r="G35" i="3"/>
  <c r="D71" i="3" l="1"/>
  <c r="D74" i="3" s="1"/>
  <c r="C49" i="3"/>
  <c r="D49" i="3" s="1"/>
  <c r="E47" i="3"/>
  <c r="E48" i="3" s="1"/>
  <c r="E72" i="3" s="1"/>
  <c r="K47" i="3"/>
  <c r="K48" i="3" s="1"/>
  <c r="K72" i="3" s="1"/>
  <c r="G47" i="3"/>
  <c r="G48" i="3" s="1"/>
  <c r="G72" i="3" s="1"/>
  <c r="E71" i="3" l="1"/>
  <c r="E74" i="3" s="1"/>
  <c r="F71" i="3" s="1"/>
  <c r="F74" i="3" s="1"/>
  <c r="G71" i="3" s="1"/>
  <c r="G74" i="3" s="1"/>
  <c r="H71" i="3" s="1"/>
  <c r="H74" i="3" s="1"/>
  <c r="I71" i="3" s="1"/>
  <c r="I74" i="3" s="1"/>
  <c r="J71" i="3" s="1"/>
  <c r="J74" i="3" s="1"/>
  <c r="K71" i="3" s="1"/>
  <c r="K74" i="3" s="1"/>
  <c r="L71" i="3" s="1"/>
  <c r="L74" i="3" s="1"/>
  <c r="M71" i="3" s="1"/>
  <c r="M74" i="3" s="1"/>
  <c r="E49" i="3"/>
  <c r="F49" i="3" s="1"/>
  <c r="G49" i="3" s="1"/>
  <c r="H49" i="3" s="1"/>
  <c r="I49" i="3" s="1"/>
  <c r="J49" i="3" s="1"/>
  <c r="K49" i="3" s="1"/>
  <c r="L49" i="3" s="1"/>
  <c r="M49" i="3" s="1"/>
  <c r="M77" i="3" l="1"/>
  <c r="B9" i="7"/>
  <c r="B9" i="13" l="1"/>
  <c r="C24" i="7" l="1"/>
  <c r="C29" i="7" s="1"/>
  <c r="C9" i="13"/>
  <c r="D7" i="7" l="1"/>
  <c r="D7" i="13"/>
  <c r="D9" i="7" l="1"/>
  <c r="D24" i="7"/>
  <c r="D29" i="7" s="1"/>
  <c r="D24" i="13"/>
  <c r="D29" i="13" s="1"/>
  <c r="D9" i="13"/>
  <c r="E7" i="7" l="1"/>
  <c r="E7" i="13"/>
  <c r="E24" i="13" s="1"/>
  <c r="E29" i="13" s="1"/>
  <c r="E9" i="7" l="1"/>
  <c r="E24" i="7"/>
  <c r="E9" i="13"/>
  <c r="E29" i="7" l="1"/>
  <c r="F31" i="13" s="1"/>
  <c r="F7" i="13"/>
  <c r="F9" i="13" l="1"/>
  <c r="F24" i="13"/>
  <c r="F7" i="7"/>
  <c r="F24" i="7" l="1"/>
  <c r="C25" i="14" s="1"/>
  <c r="C30" i="14" s="1"/>
  <c r="F9" i="7"/>
  <c r="D7" i="14" l="1"/>
  <c r="D11" i="14" s="1"/>
  <c r="F29" i="7"/>
  <c r="G7" i="7" l="1"/>
  <c r="G24" i="7"/>
  <c r="G29" i="7" l="1"/>
  <c r="G9" i="7"/>
  <c r="H7" i="7" l="1"/>
  <c r="H24" i="7"/>
  <c r="H29" i="7" l="1"/>
  <c r="H9" i="7"/>
  <c r="I24" i="7" l="1"/>
  <c r="I7" i="7"/>
  <c r="I29" i="7" l="1"/>
  <c r="J7" i="7" s="1"/>
  <c r="J9" i="7" s="1"/>
  <c r="I9" i="7"/>
  <c r="J24" i="7" l="1"/>
  <c r="J29" i="7" l="1"/>
  <c r="K7" i="7" s="1"/>
  <c r="K9" i="7" s="1"/>
  <c r="K24" i="7" l="1"/>
  <c r="K29" i="7" l="1"/>
  <c r="L7" i="7" s="1"/>
  <c r="L9" i="7" s="1"/>
  <c r="L24" i="7" l="1"/>
  <c r="L29" i="7" l="1"/>
  <c r="M7" i="7" s="1"/>
  <c r="M9" i="7" s="1"/>
  <c r="M24" i="7" l="1"/>
  <c r="M29" i="7" l="1"/>
  <c r="F29" i="13" l="1"/>
  <c r="G7" i="13" l="1"/>
  <c r="G24" i="13"/>
  <c r="G29" i="13" l="1"/>
  <c r="G9" i="13"/>
  <c r="H7" i="13" l="1"/>
  <c r="H24" i="13"/>
  <c r="H29" i="13" l="1"/>
  <c r="H9" i="13"/>
  <c r="I7" i="13" l="1"/>
  <c r="I24" i="13"/>
  <c r="I9" i="13" l="1"/>
  <c r="I29" i="13"/>
  <c r="J7" i="13" l="1"/>
  <c r="J9" i="13" l="1"/>
  <c r="J24" i="13"/>
  <c r="J29" i="13" l="1"/>
  <c r="K7" i="13" s="1"/>
  <c r="K9" i="13" s="1"/>
  <c r="D25" i="14"/>
  <c r="D30" i="14" s="1"/>
  <c r="K24" i="13" l="1"/>
  <c r="K29" i="13" s="1"/>
  <c r="L24" i="13" s="1"/>
  <c r="L29" i="13" s="1"/>
  <c r="L7" i="13" l="1"/>
  <c r="L9" i="13" s="1"/>
  <c r="M7" i="13"/>
  <c r="M9" i="13" s="1"/>
  <c r="M24" i="13"/>
  <c r="M29" i="13" s="1"/>
</calcChain>
</file>

<file path=xl/sharedStrings.xml><?xml version="1.0" encoding="utf-8"?>
<sst xmlns="http://schemas.openxmlformats.org/spreadsheetml/2006/main" count="446" uniqueCount="160">
  <si>
    <t>ENERO</t>
  </si>
  <si>
    <t>FEBRERO</t>
  </si>
  <si>
    <t>MARZO</t>
  </si>
  <si>
    <t>ABRIL</t>
  </si>
  <si>
    <t>MAYO</t>
  </si>
  <si>
    <t>JUNIO</t>
  </si>
  <si>
    <t>JULIO</t>
  </si>
  <si>
    <t>AGOSTO</t>
  </si>
  <si>
    <t>SEPTIEMBRE</t>
  </si>
  <si>
    <t>OCTUBRE</t>
  </si>
  <si>
    <t>NOVIEMBRE</t>
  </si>
  <si>
    <t>DICIEMBRE</t>
  </si>
  <si>
    <t>TOTAL (€)</t>
  </si>
  <si>
    <t>INGRESOS DE EXPLOTACIÓN</t>
  </si>
  <si>
    <t>GASTOS DE EXPLOTACIÓN</t>
  </si>
  <si>
    <t>Trabajos realizados por otras empresas</t>
  </si>
  <si>
    <t>MARGEN BRUTO</t>
  </si>
  <si>
    <t>GASTOS DE PERSONAL</t>
  </si>
  <si>
    <t>SS. A cargo de la empresa</t>
  </si>
  <si>
    <t>Sueldos y salarios</t>
  </si>
  <si>
    <t>Otros gastos sociales</t>
  </si>
  <si>
    <t>GASTOS EXTERNOS</t>
  </si>
  <si>
    <t>Reparaciones y conservación</t>
  </si>
  <si>
    <t>Servicios de profesionales independientes</t>
  </si>
  <si>
    <t>Primas de Seguros</t>
  </si>
  <si>
    <t>Servicios bancarios y similares</t>
  </si>
  <si>
    <t>Otros servicios</t>
  </si>
  <si>
    <t>Suministros</t>
  </si>
  <si>
    <t>Suministros (varios)</t>
  </si>
  <si>
    <t>Telefonía</t>
  </si>
  <si>
    <t>Electricidad</t>
  </si>
  <si>
    <t>Gas</t>
  </si>
  <si>
    <t>Agua</t>
  </si>
  <si>
    <t>Material de Oficina</t>
  </si>
  <si>
    <t>Gastos varios</t>
  </si>
  <si>
    <t>Otros tributos</t>
  </si>
  <si>
    <t>Restaurantes</t>
  </si>
  <si>
    <t>Repostaje</t>
  </si>
  <si>
    <t>Telepeaje</t>
  </si>
  <si>
    <t>Gastos lavado coche</t>
  </si>
  <si>
    <t>Gastos limpieza</t>
  </si>
  <si>
    <t>Compra dispositivo a plazos</t>
  </si>
  <si>
    <t>Compras de libros</t>
  </si>
  <si>
    <t>Gastos informáticos</t>
  </si>
  <si>
    <t>Dominios</t>
  </si>
  <si>
    <t>Amortizaciones</t>
  </si>
  <si>
    <t>RDO. DE EXPLOTACIÓN</t>
  </si>
  <si>
    <t>GASTOS FINANCIEROS</t>
  </si>
  <si>
    <t>RDO. ANTES DE IMPUESTOS</t>
  </si>
  <si>
    <t>COBROS POR VENTAS</t>
  </si>
  <si>
    <t>PAGOS  DE EXPLOTACIÓN</t>
  </si>
  <si>
    <t>COMPRAS</t>
  </si>
  <si>
    <t>Pagos de personal</t>
  </si>
  <si>
    <t>CASH FLOW ACTIVIDAD</t>
  </si>
  <si>
    <t>Concepto</t>
  </si>
  <si>
    <t>S1</t>
  </si>
  <si>
    <t>S2</t>
  </si>
  <si>
    <t>S3</t>
  </si>
  <si>
    <t>S4</t>
  </si>
  <si>
    <t>S5</t>
  </si>
  <si>
    <t>S6</t>
  </si>
  <si>
    <t>S7</t>
  </si>
  <si>
    <t>S8</t>
  </si>
  <si>
    <t>S9</t>
  </si>
  <si>
    <t>S10</t>
  </si>
  <si>
    <t>S11</t>
  </si>
  <si>
    <t>S12</t>
  </si>
  <si>
    <t>Caja y entradas</t>
  </si>
  <si>
    <t>Salidas operativas</t>
  </si>
  <si>
    <t>Deuda (cuotas)</t>
  </si>
  <si>
    <t>Préstamo existente - cuota</t>
  </si>
  <si>
    <t>Totales y financiación</t>
  </si>
  <si>
    <t>Alquileres</t>
  </si>
  <si>
    <t>Subproductos y residuos</t>
  </si>
  <si>
    <t>Ventas mayoristas (hostelería y tiendas)</t>
  </si>
  <si>
    <t>Servicios diversos (encargos y eventos)</t>
  </si>
  <si>
    <t>Materias primas pan (harinas, levadura, masa madre, sal, semillas)</t>
  </si>
  <si>
    <t>Materias primas pastelería (azúcar, huevos, mantequilla, lácteos, chocolate, fruta, frutos secos)</t>
  </si>
  <si>
    <t>Materias primas mayorista (producción a volumen)</t>
  </si>
  <si>
    <t>Envases y embalajes</t>
  </si>
  <si>
    <t>Ventas retail (pan, bollería y tortas)</t>
  </si>
  <si>
    <t xml:space="preserve"> TESORERÍA 2025</t>
  </si>
  <si>
    <t>Pagos corrientes con IVA</t>
  </si>
  <si>
    <t>Pagos corrientes EXCEPTOS IVA</t>
  </si>
  <si>
    <t>IVA SOPORTADO</t>
  </si>
  <si>
    <t>IVA REPERCUTIDO</t>
  </si>
  <si>
    <t>IVA A PAGAR</t>
  </si>
  <si>
    <t>CALCULO DE IVA</t>
  </si>
  <si>
    <t>INGRESOS OPERATIVOS</t>
  </si>
  <si>
    <t>INGRESOS TOTAL</t>
  </si>
  <si>
    <t>PAGOS TOTAL</t>
  </si>
  <si>
    <t>FLUJO OPERAC. ACUMULADO</t>
  </si>
  <si>
    <t>FLUJO DE CAJA FINANCIERO</t>
  </si>
  <si>
    <t>EUROESPES</t>
  </si>
  <si>
    <t>Ingresos financieros</t>
  </si>
  <si>
    <t>Flujo operacional financiero</t>
  </si>
  <si>
    <t>TESORERÍA</t>
  </si>
  <si>
    <t>CAJA INICIO DE PERIODO</t>
  </si>
  <si>
    <t>Flujo operativo</t>
  </si>
  <si>
    <t>Flujo Financiero</t>
  </si>
  <si>
    <t>CAJA DISPONIBLE</t>
  </si>
  <si>
    <t>IVA</t>
  </si>
  <si>
    <t>RESULTADO OPERATIVO</t>
  </si>
  <si>
    <t>TESORERIA DEL AÑO ANTERIOR</t>
  </si>
  <si>
    <t xml:space="preserve">Pagos financiero </t>
  </si>
  <si>
    <t>INGRESOS ESPERADOS</t>
  </si>
  <si>
    <t>Pagos a personal</t>
  </si>
  <si>
    <t>CAJA INICIAL</t>
  </si>
  <si>
    <t>PAGOS  Y SALIDAS</t>
  </si>
  <si>
    <t>Total de caja</t>
  </si>
  <si>
    <t>Tributos y servicios bancarios</t>
  </si>
  <si>
    <t>Total salidas</t>
  </si>
  <si>
    <t xml:space="preserve">Pago de IVA 4 TRIMESTRE </t>
  </si>
  <si>
    <t>Resultado semanal</t>
  </si>
  <si>
    <t>Efectivo en Caja</t>
  </si>
  <si>
    <t>Calculo de IVA</t>
  </si>
  <si>
    <t xml:space="preserve">Otros gastos </t>
  </si>
  <si>
    <t xml:space="preserve">Servicios </t>
  </si>
  <si>
    <t xml:space="preserve">Alquiler </t>
  </si>
  <si>
    <t xml:space="preserve">Pago proveedores - 1era cuota </t>
  </si>
  <si>
    <t>Pago proveedores - 2 cuota</t>
  </si>
  <si>
    <t>IVA DEL MES ACUMULADO</t>
  </si>
  <si>
    <t>Caja inicial desde año anterior</t>
  </si>
  <si>
    <t>Este escenario considera el mismo nivel de ingresos durante el 2026 que los obtenidos en 2025, como metodo de ejemplo se utilizo los datos de tesoreria de 2025, sin embargo los montos son iguales a los obtenidos en los resutlados y en el plan esperado. cambiando el monto de caja inicial. Permite evaluar los cambios con respecto a lo esperado en el año.</t>
  </si>
  <si>
    <t>RESULTADOS OBTENIDOS 2025</t>
  </si>
  <si>
    <t xml:space="preserve"> TESORERÍA 2026</t>
  </si>
  <si>
    <t>PENDIENTE PARA 2026</t>
  </si>
  <si>
    <t>Banco 1</t>
  </si>
  <si>
    <t>Banco 2</t>
  </si>
  <si>
    <t>Por simplificacion todo dinero en efectivo es depositado en el Banco 1 al final del dia</t>
  </si>
  <si>
    <t>Total enero</t>
  </si>
  <si>
    <t>Total febrero</t>
  </si>
  <si>
    <t>Total Marzo</t>
  </si>
  <si>
    <t>Banco 1 a 2024</t>
  </si>
  <si>
    <t>Banco 2 a 2024</t>
  </si>
  <si>
    <t>INGRESOS ESPERADOS EN BANCO 1</t>
  </si>
  <si>
    <t>INGRESOS ESPERADOS EN BANCO 2</t>
  </si>
  <si>
    <t>Resultado mensual</t>
  </si>
  <si>
    <t>INGRESO TOTAL DEL MES</t>
  </si>
  <si>
    <t xml:space="preserve">Pago de iva </t>
  </si>
  <si>
    <t>EFECTO IVA</t>
  </si>
  <si>
    <t>PERIODO DE COBRO</t>
  </si>
  <si>
    <t>PERIODO DE PAGO</t>
  </si>
  <si>
    <t>Previsión de crecimiento de ventas</t>
  </si>
  <si>
    <t>Previsión de incremento de costes</t>
  </si>
  <si>
    <t>ESCENARIO 2026</t>
  </si>
  <si>
    <t>Acciones comerciales</t>
  </si>
  <si>
    <t>Ajustes en costes</t>
  </si>
  <si>
    <t>Inversiones</t>
  </si>
  <si>
    <t>Refinanciaciones</t>
  </si>
  <si>
    <t>Nuevas contrataciones…</t>
  </si>
  <si>
    <t>PRESUPUESTO  2026</t>
  </si>
  <si>
    <t>Tesorería inicial desde año anterior</t>
  </si>
  <si>
    <t>Tesorería y entradas de flujos de caja</t>
  </si>
  <si>
    <t>Salidas operativas de caja</t>
  </si>
  <si>
    <t>Pagos financieros</t>
  </si>
  <si>
    <t>PLAN DE TESORERÍA TRIMESTRAL 1T/2026.  BANCO 2.</t>
  </si>
  <si>
    <t>PLAN DE TESORERIA TRIMESTRAL 1T/2026. BANCO 1.</t>
  </si>
  <si>
    <t>PLAN DE TESORERIA TRIMESTRAL 1T/2026.  AGREGADO</t>
  </si>
  <si>
    <t>Posición inicial desde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</si>
</sst>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quot; €&quot;"/>
    <numFmt numFmtId="165" formatCode="#,##0.00&quot; €&quot;;[Red]\-#,##0.00&quot; €&quot;"/>
    <numFmt numFmtId="166" formatCode="\€\ #,##0;[Red]\(\€\ #,##0\);&quot;-&quot;"/>
    <numFmt numFmtId="167" formatCode="#,##0.00_ ;[Red]\-#,##0.00\ "/>
    <numFmt numFmtId="168" formatCode="_-* #,##0.00\ [$€-C0A]_-;\-* #,##0.00\ [$€-C0A]_-;_-* &quot;-&quot;??\ [$€-C0A]_-;_-@_-"/>
  </numFmts>
  <fonts count="26" x14ac:knownFonts="1">
    <font>
      <sz val="11"/>
      <color theme="1"/>
      <name val="Calibri"/>
      <family val="2"/>
      <scheme val="minor"/>
    </font>
    <font>
      <b/>
      <sz val="14"/>
      <name val="Calibri"/>
      <family val="2"/>
    </font>
    <font>
      <b/>
      <sz val="11"/>
      <name val="Calibri"/>
      <family val="2"/>
    </font>
    <font>
      <b/>
      <sz val="16"/>
      <color rgb="FFFFFFFF"/>
      <name val="Calibri"/>
      <family val="2"/>
    </font>
    <font>
      <b/>
      <sz val="11"/>
      <color rgb="FFFFFFFF"/>
      <name val="Calibri"/>
      <family val="2"/>
    </font>
    <font>
      <sz val="11"/>
      <color rgb="FF000000"/>
      <name val="Calibri"/>
      <family val="2"/>
    </font>
    <font>
      <b/>
      <sz val="14"/>
      <name val="Calibri"/>
      <family val="2"/>
    </font>
    <font>
      <b/>
      <sz val="11"/>
      <name val="Calibri"/>
      <family val="2"/>
    </font>
    <font>
      <b/>
      <sz val="14"/>
      <name val="Arial"/>
      <family val="2"/>
      <charset val="1"/>
    </font>
    <font>
      <b/>
      <sz val="12"/>
      <color rgb="FFFFFFFF"/>
      <name val="Arial"/>
      <family val="2"/>
      <charset val="1"/>
    </font>
    <font>
      <b/>
      <sz val="10"/>
      <name val="Arial"/>
      <family val="2"/>
      <charset val="1"/>
    </font>
    <font>
      <b/>
      <sz val="20"/>
      <name val="Arial"/>
      <family val="2"/>
      <charset val="1"/>
    </font>
    <font>
      <b/>
      <sz val="10"/>
      <color rgb="FFFFFFFF"/>
      <name val="Arial"/>
      <family val="2"/>
      <charset val="1"/>
    </font>
    <font>
      <b/>
      <sz val="18"/>
      <color rgb="FFFFFFFF"/>
      <name val="Arial"/>
      <family val="2"/>
      <charset val="1"/>
    </font>
    <font>
      <b/>
      <sz val="13"/>
      <name val="Arial"/>
      <family val="2"/>
      <charset val="1"/>
    </font>
    <font>
      <b/>
      <sz val="13"/>
      <color rgb="FFFFFFFF"/>
      <name val="Arial"/>
      <family val="2"/>
      <charset val="1"/>
    </font>
    <font>
      <sz val="8"/>
      <name val="Calibri"/>
      <family val="2"/>
      <scheme val="minor"/>
    </font>
    <font>
      <sz val="11"/>
      <color rgb="FF000000"/>
      <name val="Calibri"/>
      <family val="2"/>
    </font>
    <font>
      <b/>
      <sz val="11"/>
      <color rgb="FF000000"/>
      <name val="Calibri"/>
      <family val="2"/>
    </font>
    <font>
      <b/>
      <sz val="14"/>
      <color rgb="FF000000"/>
      <name val="Calibri"/>
      <family val="2"/>
    </font>
    <font>
      <sz val="9"/>
      <color rgb="FF000000"/>
      <name val="Calibri"/>
      <family val="2"/>
    </font>
    <font>
      <b/>
      <sz val="11"/>
      <color theme="1"/>
      <name val="Calibri"/>
      <family val="2"/>
      <scheme val="minor"/>
    </font>
    <font>
      <sz val="10"/>
      <color rgb="FF000000"/>
      <name val="Calibri"/>
      <family val="2"/>
    </font>
    <font>
      <b/>
      <sz val="10"/>
      <color rgb="FF000000"/>
      <name val="Calibri"/>
      <family val="2"/>
    </font>
    <font>
      <b/>
      <sz val="10"/>
      <color rgb="FFFFFFFF"/>
      <name val="Calibri"/>
      <family val="2"/>
    </font>
    <font>
      <sz val="10"/>
      <color theme="1"/>
      <name val="Calibri"/>
      <family val="2"/>
      <scheme val="minor"/>
    </font>
  </fonts>
  <fills count="36">
    <fill>
      <patternFill patternType="none"/>
    </fill>
    <fill>
      <patternFill patternType="gray125"/>
    </fill>
    <fill>
      <patternFill patternType="solid">
        <fgColor rgb="FFD9E1F2"/>
      </patternFill>
    </fill>
    <fill>
      <patternFill patternType="solid">
        <fgColor rgb="FFC6E0B4"/>
      </patternFill>
    </fill>
    <fill>
      <patternFill patternType="solid">
        <fgColor rgb="FF9DC3E6"/>
      </patternFill>
    </fill>
    <fill>
      <patternFill patternType="solid">
        <fgColor rgb="FFFFD966"/>
      </patternFill>
    </fill>
    <fill>
      <patternFill patternType="solid">
        <fgColor rgb="FFE7E6E6"/>
      </patternFill>
    </fill>
    <fill>
      <patternFill patternType="solid">
        <fgColor rgb="FFB7DEE8"/>
      </patternFill>
    </fill>
    <fill>
      <patternFill patternType="solid">
        <fgColor rgb="FF00B0F0"/>
      </patternFill>
    </fill>
    <fill>
      <patternFill patternType="solid">
        <fgColor rgb="FF92D050"/>
      </patternFill>
    </fill>
    <fill>
      <patternFill patternType="solid">
        <fgColor rgb="FFD9D9D9"/>
      </patternFill>
    </fill>
    <fill>
      <patternFill patternType="solid">
        <fgColor rgb="FF1F4E79"/>
      </patternFill>
    </fill>
    <fill>
      <patternFill patternType="solid">
        <fgColor rgb="FF2F5597"/>
      </patternFill>
    </fill>
    <fill>
      <patternFill patternType="solid">
        <fgColor rgb="FFE2EFDA"/>
      </patternFill>
    </fill>
    <fill>
      <patternFill patternType="solid">
        <fgColor rgb="FFF2F2F2"/>
      </patternFill>
    </fill>
    <fill>
      <patternFill patternType="solid">
        <fgColor rgb="FFFCE4D6"/>
      </patternFill>
    </fill>
    <fill>
      <patternFill patternType="solid">
        <fgColor theme="0"/>
        <bgColor indexed="64"/>
      </patternFill>
    </fill>
    <fill>
      <patternFill patternType="solid">
        <fgColor theme="9" tint="0.59999389629810485"/>
        <bgColor indexed="64"/>
      </patternFill>
    </fill>
    <fill>
      <patternFill patternType="solid">
        <fgColor rgb="FFFFFFFF"/>
        <bgColor rgb="FFFBE5D6"/>
      </patternFill>
    </fill>
    <fill>
      <patternFill patternType="solid">
        <fgColor rgb="FF999999"/>
        <bgColor rgb="FFA6A6A6"/>
      </patternFill>
    </fill>
    <fill>
      <patternFill patternType="solid">
        <fgColor rgb="FFCCCCCC"/>
        <bgColor rgb="FFD9D9D9"/>
      </patternFill>
    </fill>
    <fill>
      <patternFill patternType="solid">
        <fgColor rgb="FF808080"/>
        <bgColor rgb="FF999999"/>
      </patternFill>
    </fill>
    <fill>
      <patternFill patternType="solid">
        <fgColor theme="0"/>
        <bgColor rgb="FFD9D9D9"/>
      </patternFill>
    </fill>
    <fill>
      <patternFill patternType="solid">
        <fgColor theme="0"/>
        <bgColor rgb="FFFBE5D6"/>
      </patternFill>
    </fill>
    <fill>
      <patternFill patternType="solid">
        <fgColor rgb="FF5983B0"/>
        <bgColor rgb="FF5B9BD5"/>
      </patternFill>
    </fill>
    <fill>
      <patternFill patternType="solid">
        <fgColor theme="0"/>
        <bgColor rgb="FF999999"/>
      </patternFill>
    </fill>
    <fill>
      <patternFill patternType="solid">
        <fgColor rgb="FF00B050"/>
        <bgColor indexed="64"/>
      </patternFill>
    </fill>
    <fill>
      <patternFill patternType="solid">
        <fgColor rgb="FF00B050"/>
        <bgColor rgb="FF999999"/>
      </patternFill>
    </fill>
    <fill>
      <patternFill patternType="solid">
        <fgColor theme="3" tint="0.59999389629810485"/>
        <bgColor indexed="64"/>
      </patternFill>
    </fill>
    <fill>
      <patternFill patternType="solid">
        <fgColor theme="3" tint="0.59999389629810485"/>
        <bgColor rgb="FFFBE5D6"/>
      </patternFill>
    </fill>
    <fill>
      <patternFill patternType="solid">
        <fgColor rgb="FFFFC00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0000"/>
        <bgColor rgb="FFFBE5D6"/>
      </patternFill>
    </fill>
    <fill>
      <patternFill patternType="solid">
        <fgColor rgb="FF0070C0"/>
        <bgColor indexed="64"/>
      </patternFill>
    </fill>
  </fills>
  <borders count="73">
    <border>
      <left/>
      <right/>
      <top/>
      <bottom/>
      <diagonal/>
    </border>
    <border>
      <left style="thin">
        <color rgb="FF9E9E9E"/>
      </left>
      <right style="thin">
        <color rgb="FF9E9E9E"/>
      </right>
      <top style="thin">
        <color rgb="FF9E9E9E"/>
      </top>
      <bottom style="thin">
        <color rgb="FF9E9E9E"/>
      </bottom>
      <diagonal/>
    </border>
    <border>
      <left style="thin">
        <color rgb="FFA6A6A6"/>
      </left>
      <right style="thin">
        <color rgb="FFA6A6A6"/>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diagonal/>
    </border>
    <border>
      <left/>
      <right style="thin">
        <color rgb="FFA6A6A6"/>
      </right>
      <top style="thin">
        <color rgb="FFA6A6A6"/>
      </top>
      <bottom/>
      <diagonal/>
    </border>
    <border>
      <left style="thin">
        <color rgb="FF9E9E9E"/>
      </left>
      <right style="thin">
        <color rgb="FF9E9E9E"/>
      </right>
      <top style="thin">
        <color rgb="FF9E9E9E"/>
      </top>
      <bottom/>
      <diagonal/>
    </border>
    <border>
      <left/>
      <right/>
      <top/>
      <bottom style="thin">
        <color rgb="FF9E9E9E"/>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A6A6A6"/>
      </left>
      <right/>
      <top style="thin">
        <color rgb="FFA6A6A6"/>
      </top>
      <bottom style="thin">
        <color rgb="FFA6A6A6"/>
      </bottom>
      <diagonal/>
    </border>
    <border>
      <left/>
      <right/>
      <top/>
      <bottom style="thin">
        <color rgb="FFA6A6A6"/>
      </bottom>
      <diagonal/>
    </border>
    <border>
      <left style="medium">
        <color indexed="64"/>
      </left>
      <right style="thin">
        <color rgb="FFA6A6A6"/>
      </right>
      <top style="medium">
        <color indexed="64"/>
      </top>
      <bottom style="medium">
        <color indexed="64"/>
      </bottom>
      <diagonal/>
    </border>
    <border>
      <left style="thin">
        <color rgb="FFA6A6A6"/>
      </left>
      <right style="thin">
        <color rgb="FFA6A6A6"/>
      </right>
      <top style="medium">
        <color indexed="64"/>
      </top>
      <bottom style="medium">
        <color indexed="64"/>
      </bottom>
      <diagonal/>
    </border>
    <border>
      <left style="thin">
        <color rgb="FFA6A6A6"/>
      </left>
      <right style="medium">
        <color indexed="64"/>
      </right>
      <top style="medium">
        <color indexed="64"/>
      </top>
      <bottom style="medium">
        <color indexed="64"/>
      </bottom>
      <diagonal/>
    </border>
    <border>
      <left style="medium">
        <color indexed="64"/>
      </left>
      <right style="thin">
        <color rgb="FFA6A6A6"/>
      </right>
      <top style="medium">
        <color indexed="64"/>
      </top>
      <bottom style="thin">
        <color rgb="FFA6A6A6"/>
      </bottom>
      <diagonal/>
    </border>
    <border>
      <left style="thin">
        <color rgb="FFA6A6A6"/>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rgb="FFA6A6A6"/>
      </left>
      <right/>
      <top/>
      <bottom/>
      <diagonal/>
    </border>
    <border>
      <left style="thin">
        <color rgb="FFA6A6A6"/>
      </left>
      <right/>
      <top style="thin">
        <color rgb="FFA6A6A6"/>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rgb="FFA6A6A6"/>
      </top>
      <bottom style="medium">
        <color indexed="64"/>
      </bottom>
      <diagonal/>
    </border>
    <border>
      <left/>
      <right style="thin">
        <color rgb="FFA6A6A6"/>
      </right>
      <top/>
      <bottom style="thin">
        <color rgb="FFA6A6A6"/>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rgb="FFA6A6A6"/>
      </right>
      <top/>
      <bottom style="medium">
        <color indexed="64"/>
      </bottom>
      <diagonal/>
    </border>
    <border>
      <left style="thin">
        <color rgb="FFA6A6A6"/>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rgb="FFA6A6A6"/>
      </bottom>
      <diagonal/>
    </border>
    <border>
      <left/>
      <right style="thin">
        <color rgb="FFA6A6A6"/>
      </right>
      <top style="medium">
        <color indexed="64"/>
      </top>
      <bottom/>
      <diagonal/>
    </border>
    <border>
      <left style="thin">
        <color rgb="FFA6A6A6"/>
      </left>
      <right/>
      <top style="medium">
        <color indexed="64"/>
      </top>
      <bottom/>
      <diagonal/>
    </border>
    <border>
      <left style="medium">
        <color indexed="64"/>
      </left>
      <right/>
      <top style="thin">
        <color rgb="FFA6A6A6"/>
      </top>
      <bottom style="thin">
        <color rgb="FFA6A6A6"/>
      </bottom>
      <diagonal/>
    </border>
    <border>
      <left/>
      <right style="medium">
        <color indexed="64"/>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269">
    <xf numFmtId="0" fontId="0" fillId="0" borderId="0" xfId="0"/>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0" fillId="0" borderId="1" xfId="0" applyBorder="1" applyAlignment="1">
      <alignment horizontal="left" vertical="center"/>
    </xf>
    <xf numFmtId="0" fontId="2" fillId="9" borderId="1" xfId="0" applyFont="1" applyFill="1" applyBorder="1" applyAlignment="1">
      <alignment horizontal="left" vertical="center"/>
    </xf>
    <xf numFmtId="165" fontId="2" fillId="9" borderId="1" xfId="0" applyNumberFormat="1" applyFont="1" applyFill="1" applyBorder="1" applyAlignment="1">
      <alignment horizontal="right" vertical="center"/>
    </xf>
    <xf numFmtId="165" fontId="0" fillId="0" borderId="1" xfId="0" applyNumberFormat="1" applyBorder="1" applyAlignment="1">
      <alignment horizontal="right" vertical="center"/>
    </xf>
    <xf numFmtId="165" fontId="2" fillId="3" borderId="1" xfId="0" applyNumberFormat="1" applyFont="1" applyFill="1" applyBorder="1" applyAlignment="1">
      <alignment horizontal="right" vertical="center"/>
    </xf>
    <xf numFmtId="0" fontId="0" fillId="16" borderId="0" xfId="0" applyFill="1"/>
    <xf numFmtId="0" fontId="0" fillId="16" borderId="0" xfId="0" applyFill="1" applyAlignment="1">
      <alignment horizontal="left"/>
    </xf>
    <xf numFmtId="164" fontId="0" fillId="16" borderId="0" xfId="0" applyNumberFormat="1" applyFill="1" applyAlignment="1">
      <alignment horizontal="right"/>
    </xf>
    <xf numFmtId="0" fontId="2" fillId="2" borderId="0" xfId="0" applyFont="1" applyFill="1" applyAlignment="1">
      <alignment horizontal="center" vertical="center"/>
    </xf>
    <xf numFmtId="0" fontId="2" fillId="3" borderId="0" xfId="0" applyFont="1" applyFill="1" applyAlignment="1">
      <alignment horizontal="left"/>
    </xf>
    <xf numFmtId="164" fontId="2" fillId="3" borderId="0" xfId="0" applyNumberFormat="1" applyFont="1" applyFill="1" applyAlignment="1">
      <alignment horizontal="right"/>
    </xf>
    <xf numFmtId="0" fontId="2" fillId="4" borderId="0" xfId="0" applyFont="1" applyFill="1" applyAlignment="1">
      <alignment horizontal="left"/>
    </xf>
    <xf numFmtId="164" fontId="2" fillId="4" borderId="0" xfId="0" applyNumberFormat="1" applyFont="1" applyFill="1" applyAlignment="1">
      <alignment horizontal="right"/>
    </xf>
    <xf numFmtId="0" fontId="2" fillId="5" borderId="0" xfId="0" applyFont="1" applyFill="1" applyAlignment="1">
      <alignment horizontal="left"/>
    </xf>
    <xf numFmtId="164" fontId="2" fillId="5" borderId="0" xfId="0" applyNumberFormat="1" applyFont="1" applyFill="1" applyAlignment="1">
      <alignment horizontal="right"/>
    </xf>
    <xf numFmtId="0" fontId="2" fillId="6" borderId="0" xfId="0" applyFont="1" applyFill="1" applyAlignment="1">
      <alignment horizontal="left"/>
    </xf>
    <xf numFmtId="164" fontId="2" fillId="6" borderId="0" xfId="0" applyNumberFormat="1" applyFont="1" applyFill="1" applyAlignment="1">
      <alignment horizontal="right"/>
    </xf>
    <xf numFmtId="0" fontId="2" fillId="7" borderId="0" xfId="0" applyFont="1" applyFill="1" applyAlignment="1">
      <alignment horizontal="left"/>
    </xf>
    <xf numFmtId="164" fontId="2" fillId="7" borderId="0" xfId="0" applyNumberFormat="1" applyFont="1" applyFill="1" applyAlignment="1">
      <alignment horizontal="right"/>
    </xf>
    <xf numFmtId="0" fontId="2" fillId="8" borderId="0" xfId="0" applyFont="1" applyFill="1" applyAlignment="1">
      <alignment horizontal="left"/>
    </xf>
    <xf numFmtId="164" fontId="2" fillId="8" borderId="0" xfId="0" applyNumberFormat="1" applyFont="1" applyFill="1" applyAlignment="1">
      <alignment horizontal="right"/>
    </xf>
    <xf numFmtId="4" fontId="0" fillId="16" borderId="0" xfId="0" applyNumberFormat="1" applyFill="1"/>
    <xf numFmtId="1" fontId="0" fillId="16" borderId="0" xfId="0" applyNumberFormat="1" applyFill="1"/>
    <xf numFmtId="0" fontId="2" fillId="17" borderId="0" xfId="0" applyFont="1" applyFill="1" applyAlignment="1">
      <alignment horizontal="left"/>
    </xf>
    <xf numFmtId="164" fontId="2" fillId="17" borderId="0" xfId="0" applyNumberFormat="1" applyFont="1" applyFill="1" applyAlignment="1">
      <alignment horizontal="right"/>
    </xf>
    <xf numFmtId="0" fontId="7" fillId="3" borderId="1" xfId="0" applyFont="1" applyFill="1" applyBorder="1" applyAlignment="1">
      <alignment horizontal="left" vertical="center"/>
    </xf>
    <xf numFmtId="0" fontId="2" fillId="10" borderId="7" xfId="0" applyFont="1" applyFill="1" applyBorder="1" applyAlignment="1">
      <alignment horizontal="left" vertical="center"/>
    </xf>
    <xf numFmtId="165" fontId="2" fillId="10" borderId="7" xfId="0" applyNumberFormat="1" applyFont="1" applyFill="1" applyBorder="1" applyAlignment="1">
      <alignment horizontal="right" vertical="center"/>
    </xf>
    <xf numFmtId="0" fontId="0" fillId="16" borderId="0" xfId="0" applyFill="1" applyAlignment="1">
      <alignment horizontal="left" vertical="center"/>
    </xf>
    <xf numFmtId="0" fontId="0" fillId="16" borderId="0" xfId="0" applyFill="1" applyAlignment="1">
      <alignment horizontal="right" vertical="center"/>
    </xf>
    <xf numFmtId="8" fontId="0" fillId="16" borderId="0" xfId="0" applyNumberFormat="1" applyFill="1"/>
    <xf numFmtId="167" fontId="0" fillId="16" borderId="0" xfId="0" applyNumberFormat="1" applyFill="1" applyAlignment="1">
      <alignment horizontal="right" vertical="center"/>
    </xf>
    <xf numFmtId="0" fontId="0" fillId="18" borderId="0" xfId="0" applyFill="1"/>
    <xf numFmtId="0" fontId="0" fillId="18" borderId="10" xfId="0" applyFill="1" applyBorder="1" applyAlignment="1">
      <alignment wrapText="1"/>
    </xf>
    <xf numFmtId="3" fontId="0" fillId="18" borderId="9" xfId="0" applyNumberFormat="1" applyFill="1" applyBorder="1" applyAlignment="1">
      <alignment horizontal="right" wrapText="1"/>
    </xf>
    <xf numFmtId="3" fontId="0" fillId="18" borderId="0" xfId="0" applyNumberFormat="1" applyFill="1" applyAlignment="1">
      <alignment horizontal="right" wrapText="1"/>
    </xf>
    <xf numFmtId="3" fontId="0" fillId="18" borderId="14" xfId="0" applyNumberFormat="1" applyFill="1" applyBorder="1" applyAlignment="1">
      <alignment horizontal="right" wrapText="1"/>
    </xf>
    <xf numFmtId="3" fontId="0" fillId="18" borderId="15" xfId="0" applyNumberFormat="1" applyFill="1" applyBorder="1" applyAlignment="1">
      <alignment horizontal="right" wrapText="1"/>
    </xf>
    <xf numFmtId="0" fontId="9" fillId="19" borderId="17" xfId="0" applyFont="1" applyFill="1" applyBorder="1"/>
    <xf numFmtId="3" fontId="9" fillId="19" borderId="11" xfId="0" applyNumberFormat="1" applyFont="1" applyFill="1" applyBorder="1" applyAlignment="1">
      <alignment horizontal="right" wrapText="1"/>
    </xf>
    <xf numFmtId="0" fontId="0" fillId="20" borderId="17" xfId="0" applyFill="1" applyBorder="1"/>
    <xf numFmtId="3" fontId="10" fillId="20" borderId="11" xfId="0" applyNumberFormat="1" applyFont="1" applyFill="1" applyBorder="1" applyAlignment="1">
      <alignment horizontal="right" wrapText="1"/>
    </xf>
    <xf numFmtId="0" fontId="10" fillId="20" borderId="17" xfId="0" applyFont="1" applyFill="1" applyBorder="1" applyAlignment="1">
      <alignment wrapText="1"/>
    </xf>
    <xf numFmtId="0" fontId="10" fillId="22" borderId="0" xfId="0" applyFont="1" applyFill="1" applyAlignment="1">
      <alignment wrapText="1"/>
    </xf>
    <xf numFmtId="3" fontId="0" fillId="23" borderId="9" xfId="0" applyNumberFormat="1" applyFill="1" applyBorder="1" applyAlignment="1">
      <alignment horizontal="right" wrapText="1"/>
    </xf>
    <xf numFmtId="3" fontId="0" fillId="23" borderId="0" xfId="0" applyNumberFormat="1" applyFill="1" applyAlignment="1">
      <alignment horizontal="right" wrapText="1"/>
    </xf>
    <xf numFmtId="3" fontId="0" fillId="23" borderId="14" xfId="0" applyNumberFormat="1" applyFill="1" applyBorder="1" applyAlignment="1">
      <alignment horizontal="right" wrapText="1"/>
    </xf>
    <xf numFmtId="3" fontId="12" fillId="21" borderId="15" xfId="0" applyNumberFormat="1" applyFont="1" applyFill="1" applyBorder="1" applyAlignment="1">
      <alignment horizontal="center" wrapText="1"/>
    </xf>
    <xf numFmtId="0" fontId="12" fillId="21" borderId="16" xfId="0" applyFont="1" applyFill="1" applyBorder="1" applyAlignment="1">
      <alignment horizontal="center"/>
    </xf>
    <xf numFmtId="3" fontId="12" fillId="21" borderId="16" xfId="0" applyNumberFormat="1" applyFont="1" applyFill="1" applyBorder="1" applyAlignment="1">
      <alignment horizontal="center" wrapText="1"/>
    </xf>
    <xf numFmtId="0" fontId="12" fillId="24" borderId="16" xfId="0" applyFont="1" applyFill="1" applyBorder="1" applyAlignment="1">
      <alignment horizontal="center"/>
    </xf>
    <xf numFmtId="3" fontId="0" fillId="18" borderId="11" xfId="0" applyNumberFormat="1" applyFill="1" applyBorder="1" applyAlignment="1">
      <alignment horizontal="right" wrapText="1"/>
    </xf>
    <xf numFmtId="3" fontId="0" fillId="18" borderId="12" xfId="0" applyNumberFormat="1" applyFill="1" applyBorder="1" applyAlignment="1">
      <alignment horizontal="right" wrapText="1"/>
    </xf>
    <xf numFmtId="3" fontId="0" fillId="18" borderId="13" xfId="0" applyNumberFormat="1" applyFill="1" applyBorder="1" applyAlignment="1">
      <alignment horizontal="right" wrapText="1"/>
    </xf>
    <xf numFmtId="0" fontId="14" fillId="20" borderId="17" xfId="0" applyFont="1" applyFill="1" applyBorder="1" applyAlignment="1">
      <alignment wrapText="1"/>
    </xf>
    <xf numFmtId="3" fontId="15" fillId="21" borderId="11" xfId="0" applyNumberFormat="1" applyFont="1" applyFill="1" applyBorder="1" applyAlignment="1">
      <alignment horizontal="right" wrapText="1"/>
    </xf>
    <xf numFmtId="0" fontId="14" fillId="22" borderId="0" xfId="0" applyFont="1" applyFill="1" applyAlignment="1">
      <alignment wrapText="1"/>
    </xf>
    <xf numFmtId="3" fontId="15" fillId="25" borderId="9" xfId="0" applyNumberFormat="1" applyFont="1" applyFill="1" applyBorder="1" applyAlignment="1">
      <alignment horizontal="right" wrapText="1"/>
    </xf>
    <xf numFmtId="3" fontId="15" fillId="25" borderId="0" xfId="0" applyNumberFormat="1" applyFont="1" applyFill="1" applyAlignment="1">
      <alignment horizontal="right" wrapText="1"/>
    </xf>
    <xf numFmtId="0" fontId="0" fillId="18" borderId="17" xfId="0" applyFill="1" applyBorder="1" applyAlignment="1">
      <alignment wrapText="1"/>
    </xf>
    <xf numFmtId="3" fontId="15" fillId="21" borderId="12" xfId="0" applyNumberFormat="1" applyFont="1" applyFill="1" applyBorder="1" applyAlignment="1">
      <alignment horizontal="right" wrapText="1"/>
    </xf>
    <xf numFmtId="0" fontId="4" fillId="11" borderId="25" xfId="0" applyFont="1" applyFill="1" applyBorder="1" applyAlignment="1">
      <alignment horizontal="left" vertical="center" wrapText="1"/>
    </xf>
    <xf numFmtId="0" fontId="4" fillId="11" borderId="27"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5" fillId="0" borderId="25" xfId="0" applyFont="1" applyBorder="1" applyAlignment="1">
      <alignment horizontal="left" vertical="center" wrapText="1"/>
    </xf>
    <xf numFmtId="166" fontId="5" fillId="0" borderId="4" xfId="0" applyNumberFormat="1" applyFont="1" applyBorder="1" applyAlignment="1">
      <alignment horizontal="right" vertical="center" wrapText="1"/>
    </xf>
    <xf numFmtId="166" fontId="5" fillId="0" borderId="30" xfId="0" applyNumberFormat="1" applyFont="1" applyBorder="1" applyAlignment="1">
      <alignment horizontal="right" vertical="center" wrapText="1"/>
    </xf>
    <xf numFmtId="166" fontId="5" fillId="0" borderId="31" xfId="0" applyNumberFormat="1" applyFont="1" applyBorder="1" applyAlignment="1">
      <alignment horizontal="right" vertical="center" wrapText="1"/>
    </xf>
    <xf numFmtId="166" fontId="5" fillId="0" borderId="32" xfId="0" applyNumberFormat="1" applyFont="1" applyBorder="1" applyAlignment="1">
      <alignment horizontal="right" vertical="center" wrapText="1"/>
    </xf>
    <xf numFmtId="166" fontId="5" fillId="15" borderId="4" xfId="0" applyNumberFormat="1" applyFont="1" applyFill="1" applyBorder="1" applyAlignment="1">
      <alignment horizontal="right" vertical="center" wrapText="1"/>
    </xf>
    <xf numFmtId="0" fontId="17" fillId="0" borderId="25" xfId="0" applyFont="1" applyBorder="1" applyAlignment="1">
      <alignment horizontal="left" vertical="center" wrapText="1"/>
    </xf>
    <xf numFmtId="0" fontId="18" fillId="13" borderId="25" xfId="0" applyFont="1" applyFill="1" applyBorder="1" applyAlignment="1">
      <alignment horizontal="left" vertical="center" wrapText="1"/>
    </xf>
    <xf numFmtId="166" fontId="5" fillId="0" borderId="0" xfId="0" applyNumberFormat="1" applyFont="1" applyAlignment="1">
      <alignment horizontal="right" vertical="center" wrapText="1"/>
    </xf>
    <xf numFmtId="166" fontId="0" fillId="0" borderId="0" xfId="0" applyNumberFormat="1"/>
    <xf numFmtId="166" fontId="5" fillId="0" borderId="37" xfId="0" applyNumberFormat="1" applyFont="1" applyBorder="1" applyAlignment="1">
      <alignment horizontal="right" vertical="center" wrapText="1"/>
    </xf>
    <xf numFmtId="0" fontId="4" fillId="12" borderId="38" xfId="0" applyFont="1" applyFill="1" applyBorder="1" applyAlignment="1">
      <alignment vertical="center" wrapText="1"/>
    </xf>
    <xf numFmtId="0" fontId="4" fillId="12" borderId="0" xfId="0" applyFont="1" applyFill="1" applyAlignment="1">
      <alignment vertical="center" wrapText="1"/>
    </xf>
    <xf numFmtId="0" fontId="4" fillId="12" borderId="3" xfId="0" applyFont="1" applyFill="1" applyBorder="1" applyAlignment="1">
      <alignment vertical="center" wrapText="1"/>
    </xf>
    <xf numFmtId="166" fontId="5" fillId="14" borderId="0" xfId="0" applyNumberFormat="1" applyFont="1" applyFill="1" applyAlignment="1">
      <alignment horizontal="right" vertical="center" wrapText="1"/>
    </xf>
    <xf numFmtId="166" fontId="5" fillId="14" borderId="36" xfId="0" applyNumberFormat="1" applyFont="1" applyFill="1" applyBorder="1" applyAlignment="1">
      <alignment horizontal="right" vertical="center" wrapText="1"/>
    </xf>
    <xf numFmtId="166" fontId="5" fillId="14" borderId="37" xfId="0" applyNumberFormat="1" applyFont="1" applyFill="1" applyBorder="1" applyAlignment="1">
      <alignment horizontal="right" vertical="center" wrapText="1"/>
    </xf>
    <xf numFmtId="0" fontId="18" fillId="2" borderId="40" xfId="0" applyFont="1" applyFill="1" applyBorder="1" applyAlignment="1">
      <alignment horizontal="left" vertical="center" wrapText="1"/>
    </xf>
    <xf numFmtId="166" fontId="5" fillId="2" borderId="35" xfId="0" applyNumberFormat="1" applyFont="1" applyFill="1" applyBorder="1" applyAlignment="1">
      <alignment horizontal="right" vertical="center" wrapText="1"/>
    </xf>
    <xf numFmtId="3" fontId="9" fillId="19" borderId="15" xfId="0" applyNumberFormat="1" applyFont="1" applyFill="1" applyBorder="1" applyAlignment="1">
      <alignment horizontal="right" wrapText="1"/>
    </xf>
    <xf numFmtId="166" fontId="5" fillId="14" borderId="44" xfId="0" applyNumberFormat="1" applyFont="1" applyFill="1" applyBorder="1" applyAlignment="1">
      <alignment horizontal="right" vertical="center" wrapText="1"/>
    </xf>
    <xf numFmtId="166" fontId="5" fillId="2" borderId="18" xfId="0" applyNumberFormat="1" applyFont="1" applyFill="1" applyBorder="1" applyAlignment="1">
      <alignment horizontal="right" vertical="center" wrapText="1"/>
    </xf>
    <xf numFmtId="0" fontId="4" fillId="11" borderId="5" xfId="0" applyFont="1" applyFill="1" applyBorder="1" applyAlignment="1">
      <alignment horizontal="center" vertical="center" wrapText="1"/>
    </xf>
    <xf numFmtId="166" fontId="5" fillId="13" borderId="6" xfId="0" applyNumberFormat="1" applyFont="1" applyFill="1" applyBorder="1" applyAlignment="1">
      <alignment horizontal="right" vertical="center" wrapText="1"/>
    </xf>
    <xf numFmtId="166" fontId="5" fillId="0" borderId="47" xfId="0" applyNumberFormat="1" applyFont="1" applyBorder="1" applyAlignment="1">
      <alignment horizontal="right" vertical="center" wrapText="1"/>
    </xf>
    <xf numFmtId="166" fontId="5" fillId="14" borderId="5" xfId="0" applyNumberFormat="1" applyFont="1" applyFill="1" applyBorder="1" applyAlignment="1">
      <alignment horizontal="right" vertical="center" wrapText="1"/>
    </xf>
    <xf numFmtId="166" fontId="5" fillId="0" borderId="19" xfId="0" applyNumberFormat="1" applyFont="1" applyBorder="1" applyAlignment="1">
      <alignment horizontal="right" vertical="center" wrapText="1"/>
    </xf>
    <xf numFmtId="166" fontId="5" fillId="0" borderId="20" xfId="0" applyNumberFormat="1" applyFont="1" applyBorder="1" applyAlignment="1">
      <alignment horizontal="right" vertical="center" wrapText="1"/>
    </xf>
    <xf numFmtId="166" fontId="5" fillId="0" borderId="21" xfId="0" applyNumberFormat="1" applyFont="1" applyBorder="1" applyAlignment="1">
      <alignment horizontal="right" vertical="center" wrapText="1"/>
    </xf>
    <xf numFmtId="166" fontId="5" fillId="0" borderId="36" xfId="0" applyNumberFormat="1" applyFont="1" applyBorder="1" applyAlignment="1">
      <alignment horizontal="right" vertical="center" wrapText="1"/>
    </xf>
    <xf numFmtId="166" fontId="5" fillId="13" borderId="22" xfId="0" applyNumberFormat="1" applyFont="1" applyFill="1" applyBorder="1" applyAlignment="1">
      <alignment horizontal="right" vertical="center" wrapText="1"/>
    </xf>
    <xf numFmtId="166" fontId="5" fillId="13" borderId="23" xfId="0" applyNumberFormat="1" applyFont="1" applyFill="1" applyBorder="1" applyAlignment="1">
      <alignment horizontal="right" vertical="center" wrapText="1"/>
    </xf>
    <xf numFmtId="166" fontId="5" fillId="13" borderId="24" xfId="0" applyNumberFormat="1" applyFont="1" applyFill="1" applyBorder="1" applyAlignment="1">
      <alignment horizontal="right" vertical="center" wrapText="1"/>
    </xf>
    <xf numFmtId="166" fontId="5" fillId="0" borderId="26" xfId="0" applyNumberFormat="1" applyFont="1" applyBorder="1" applyAlignment="1">
      <alignment horizontal="right" vertical="center" wrapText="1"/>
    </xf>
    <xf numFmtId="166" fontId="5" fillId="14" borderId="48" xfId="0" applyNumberFormat="1" applyFont="1" applyFill="1" applyBorder="1" applyAlignment="1">
      <alignment horizontal="right" vertical="center" wrapText="1"/>
    </xf>
    <xf numFmtId="166" fontId="5" fillId="14" borderId="40" xfId="0" applyNumberFormat="1" applyFont="1" applyFill="1" applyBorder="1" applyAlignment="1">
      <alignment horizontal="right" vertical="center" wrapText="1"/>
    </xf>
    <xf numFmtId="166" fontId="5" fillId="14" borderId="35" xfId="0" applyNumberFormat="1" applyFont="1" applyFill="1" applyBorder="1" applyAlignment="1">
      <alignment horizontal="right" vertical="center" wrapText="1"/>
    </xf>
    <xf numFmtId="166" fontId="5" fillId="14" borderId="41" xfId="0" applyNumberFormat="1" applyFont="1" applyFill="1" applyBorder="1" applyAlignment="1">
      <alignment horizontal="right" vertical="center" wrapText="1"/>
    </xf>
    <xf numFmtId="166" fontId="0" fillId="0" borderId="20" xfId="0" applyNumberFormat="1" applyBorder="1"/>
    <xf numFmtId="166" fontId="0" fillId="0" borderId="21" xfId="0" applyNumberFormat="1" applyBorder="1"/>
    <xf numFmtId="166" fontId="0" fillId="0" borderId="23" xfId="0" applyNumberFormat="1" applyBorder="1"/>
    <xf numFmtId="166" fontId="0" fillId="0" borderId="24" xfId="0" applyNumberFormat="1" applyBorder="1"/>
    <xf numFmtId="0" fontId="18" fillId="14" borderId="40" xfId="0" applyFont="1" applyFill="1" applyBorder="1" applyAlignment="1">
      <alignment horizontal="left" vertical="center" wrapText="1"/>
    </xf>
    <xf numFmtId="0" fontId="18" fillId="14" borderId="36" xfId="0" applyFont="1" applyFill="1" applyBorder="1" applyAlignment="1">
      <alignment horizontal="left" vertical="center" wrapText="1"/>
    </xf>
    <xf numFmtId="0" fontId="0" fillId="16" borderId="45" xfId="0" applyFill="1" applyBorder="1" applyAlignment="1">
      <alignment horizontal="left" vertical="center"/>
    </xf>
    <xf numFmtId="0" fontId="0" fillId="16" borderId="49" xfId="0" applyFill="1" applyBorder="1" applyAlignment="1">
      <alignment horizontal="left" vertical="center"/>
    </xf>
    <xf numFmtId="0" fontId="0" fillId="0" borderId="49" xfId="0" applyBorder="1"/>
    <xf numFmtId="166" fontId="5" fillId="26" borderId="40" xfId="0" applyNumberFormat="1" applyFont="1" applyFill="1" applyBorder="1" applyAlignment="1">
      <alignment horizontal="right" vertical="center" wrapText="1"/>
    </xf>
    <xf numFmtId="3" fontId="15" fillId="27" borderId="13" xfId="0" applyNumberFormat="1" applyFont="1" applyFill="1" applyBorder="1" applyAlignment="1">
      <alignment horizontal="right" wrapText="1"/>
    </xf>
    <xf numFmtId="3" fontId="0" fillId="16" borderId="0" xfId="0" applyNumberFormat="1" applyFill="1"/>
    <xf numFmtId="0" fontId="0" fillId="28" borderId="17" xfId="0" applyFill="1" applyBorder="1"/>
    <xf numFmtId="3" fontId="0" fillId="29" borderId="17" xfId="0" applyNumberFormat="1" applyFill="1" applyBorder="1" applyAlignment="1">
      <alignment horizontal="right" wrapText="1"/>
    </xf>
    <xf numFmtId="0" fontId="0" fillId="17" borderId="17" xfId="0" applyFill="1" applyBorder="1"/>
    <xf numFmtId="3" fontId="0" fillId="17" borderId="17" xfId="0" applyNumberFormat="1" applyFill="1" applyBorder="1"/>
    <xf numFmtId="0" fontId="0" fillId="0" borderId="26" xfId="0" applyBorder="1"/>
    <xf numFmtId="0" fontId="18" fillId="14" borderId="38" xfId="0" applyFont="1" applyFill="1" applyBorder="1" applyAlignment="1">
      <alignment horizontal="left" vertical="center" wrapText="1"/>
    </xf>
    <xf numFmtId="0" fontId="18" fillId="17" borderId="40" xfId="0" applyFont="1" applyFill="1" applyBorder="1" applyAlignment="1">
      <alignment horizontal="left" vertical="center" wrapText="1"/>
    </xf>
    <xf numFmtId="166" fontId="5" fillId="17" borderId="52" xfId="0" applyNumberFormat="1" applyFont="1" applyFill="1" applyBorder="1" applyAlignment="1">
      <alignment horizontal="right" vertical="center" wrapText="1"/>
    </xf>
    <xf numFmtId="166" fontId="5" fillId="17" borderId="53" xfId="0" applyNumberFormat="1" applyFont="1" applyFill="1" applyBorder="1" applyAlignment="1">
      <alignment horizontal="right" vertical="center" wrapText="1"/>
    </xf>
    <xf numFmtId="166" fontId="5" fillId="17" borderId="54" xfId="0" applyNumberFormat="1" applyFont="1" applyFill="1" applyBorder="1" applyAlignment="1">
      <alignment horizontal="right" vertical="center" wrapText="1"/>
    </xf>
    <xf numFmtId="166" fontId="5" fillId="2" borderId="22" xfId="0" applyNumberFormat="1" applyFont="1" applyFill="1" applyBorder="1" applyAlignment="1">
      <alignment horizontal="right" vertical="center" wrapText="1"/>
    </xf>
    <xf numFmtId="0" fontId="4" fillId="12" borderId="39" xfId="0" applyFont="1" applyFill="1" applyBorder="1" applyAlignment="1">
      <alignment vertical="center" wrapText="1"/>
    </xf>
    <xf numFmtId="0" fontId="18" fillId="15" borderId="18" xfId="0" applyFont="1" applyFill="1" applyBorder="1" applyAlignment="1">
      <alignment horizontal="left" vertical="center" wrapText="1"/>
    </xf>
    <xf numFmtId="166" fontId="5" fillId="16" borderId="47" xfId="0" applyNumberFormat="1" applyFont="1" applyFill="1" applyBorder="1" applyAlignment="1">
      <alignment horizontal="right" vertical="center" wrapText="1"/>
    </xf>
    <xf numFmtId="166" fontId="5" fillId="16" borderId="4" xfId="0" applyNumberFormat="1" applyFont="1" applyFill="1" applyBorder="1" applyAlignment="1">
      <alignment horizontal="right" vertical="center" wrapText="1"/>
    </xf>
    <xf numFmtId="166" fontId="5" fillId="16" borderId="3" xfId="0" applyNumberFormat="1" applyFont="1" applyFill="1" applyBorder="1" applyAlignment="1">
      <alignment horizontal="right" vertical="center" wrapText="1"/>
    </xf>
    <xf numFmtId="166" fontId="5" fillId="16" borderId="12" xfId="0" applyNumberFormat="1" applyFont="1" applyFill="1" applyBorder="1" applyAlignment="1">
      <alignment horizontal="right" vertical="center" wrapText="1"/>
    </xf>
    <xf numFmtId="0" fontId="17" fillId="16" borderId="42" xfId="0" applyFont="1" applyFill="1" applyBorder="1" applyAlignment="1">
      <alignment horizontal="left" vertical="center" wrapText="1"/>
    </xf>
    <xf numFmtId="0" fontId="17" fillId="16" borderId="43" xfId="0" applyFont="1" applyFill="1" applyBorder="1" applyAlignment="1">
      <alignment horizontal="left" vertical="center" wrapText="1"/>
    </xf>
    <xf numFmtId="166" fontId="5" fillId="16" borderId="55" xfId="0" applyNumberFormat="1" applyFont="1" applyFill="1" applyBorder="1" applyAlignment="1">
      <alignment horizontal="right" vertical="center" wrapText="1"/>
    </xf>
    <xf numFmtId="166" fontId="5" fillId="16" borderId="56" xfId="0" applyNumberFormat="1" applyFont="1" applyFill="1" applyBorder="1" applyAlignment="1">
      <alignment horizontal="right" vertical="center" wrapText="1"/>
    </xf>
    <xf numFmtId="166" fontId="5" fillId="16" borderId="57" xfId="0" applyNumberFormat="1" applyFont="1" applyFill="1" applyBorder="1" applyAlignment="1">
      <alignment horizontal="right" vertical="center" wrapText="1"/>
    </xf>
    <xf numFmtId="166" fontId="5" fillId="16" borderId="58" xfId="0" applyNumberFormat="1" applyFont="1" applyFill="1" applyBorder="1" applyAlignment="1">
      <alignment horizontal="right" vertical="center" wrapText="1"/>
    </xf>
    <xf numFmtId="166" fontId="5" fillId="16" borderId="59" xfId="0" applyNumberFormat="1" applyFont="1" applyFill="1" applyBorder="1" applyAlignment="1">
      <alignment horizontal="right" vertical="center" wrapText="1"/>
    </xf>
    <xf numFmtId="166" fontId="5" fillId="16" borderId="60" xfId="0" applyNumberFormat="1" applyFont="1" applyFill="1" applyBorder="1" applyAlignment="1">
      <alignment horizontal="right" vertical="center" wrapText="1"/>
    </xf>
    <xf numFmtId="166" fontId="5" fillId="16" borderId="61" xfId="0" applyNumberFormat="1" applyFont="1" applyFill="1" applyBorder="1" applyAlignment="1">
      <alignment horizontal="right" vertical="center" wrapText="1"/>
    </xf>
    <xf numFmtId="166" fontId="5" fillId="16" borderId="62" xfId="0" applyNumberFormat="1" applyFont="1" applyFill="1" applyBorder="1" applyAlignment="1">
      <alignment horizontal="right" vertical="center" wrapText="1"/>
    </xf>
    <xf numFmtId="0" fontId="17" fillId="30" borderId="46" xfId="0" applyFont="1" applyFill="1" applyBorder="1" applyAlignment="1">
      <alignment horizontal="left" vertical="center" wrapText="1"/>
    </xf>
    <xf numFmtId="0" fontId="17" fillId="30" borderId="43" xfId="0" applyFont="1" applyFill="1" applyBorder="1" applyAlignment="1">
      <alignment horizontal="left" vertical="center" wrapText="1"/>
    </xf>
    <xf numFmtId="167" fontId="0" fillId="0" borderId="0" xfId="0" applyNumberFormat="1"/>
    <xf numFmtId="165" fontId="2" fillId="30" borderId="1" xfId="0" applyNumberFormat="1" applyFont="1" applyFill="1" applyBorder="1" applyAlignment="1">
      <alignment horizontal="right" vertical="center"/>
    </xf>
    <xf numFmtId="166" fontId="5" fillId="0" borderId="18" xfId="0" applyNumberFormat="1" applyFont="1" applyBorder="1" applyAlignment="1">
      <alignment horizontal="right" vertical="center" wrapText="1"/>
    </xf>
    <xf numFmtId="166" fontId="5" fillId="0" borderId="41" xfId="0" applyNumberFormat="1" applyFont="1" applyBorder="1" applyAlignment="1">
      <alignment horizontal="right" vertical="center" wrapText="1"/>
    </xf>
    <xf numFmtId="0" fontId="4" fillId="11" borderId="63" xfId="0" applyFont="1" applyFill="1" applyBorder="1" applyAlignment="1">
      <alignment horizontal="left" vertical="center" wrapText="1"/>
    </xf>
    <xf numFmtId="0" fontId="4" fillId="12" borderId="36" xfId="0" applyFont="1" applyFill="1" applyBorder="1" applyAlignment="1">
      <alignment horizontal="left" vertical="center" wrapText="1"/>
    </xf>
    <xf numFmtId="0" fontId="17" fillId="0" borderId="66" xfId="0" applyFont="1" applyBorder="1" applyAlignment="1">
      <alignment horizontal="left" vertical="center" wrapText="1"/>
    </xf>
    <xf numFmtId="0" fontId="18" fillId="13" borderId="66" xfId="0" applyFont="1" applyFill="1" applyBorder="1" applyAlignment="1">
      <alignment horizontal="left" vertical="center" wrapText="1"/>
    </xf>
    <xf numFmtId="0" fontId="4" fillId="12" borderId="36" xfId="0" applyFont="1" applyFill="1" applyBorder="1" applyAlignment="1">
      <alignment vertical="center" wrapText="1"/>
    </xf>
    <xf numFmtId="0" fontId="4" fillId="12" borderId="37" xfId="0" applyFont="1" applyFill="1" applyBorder="1" applyAlignment="1">
      <alignment vertical="center" wrapText="1"/>
    </xf>
    <xf numFmtId="0" fontId="5" fillId="0" borderId="66" xfId="0" applyFont="1" applyBorder="1" applyAlignment="1">
      <alignment horizontal="left" vertical="center" wrapText="1"/>
    </xf>
    <xf numFmtId="0" fontId="4" fillId="12" borderId="66" xfId="0" applyFont="1" applyFill="1" applyBorder="1" applyAlignment="1">
      <alignment vertical="center" wrapText="1"/>
    </xf>
    <xf numFmtId="0" fontId="4" fillId="12" borderId="67" xfId="0" applyFont="1" applyFill="1" applyBorder="1" applyAlignment="1">
      <alignment vertical="center" wrapText="1"/>
    </xf>
    <xf numFmtId="0" fontId="18" fillId="15" borderId="68" xfId="0" applyFont="1" applyFill="1" applyBorder="1" applyAlignment="1">
      <alignment horizontal="left" vertical="center" wrapText="1"/>
    </xf>
    <xf numFmtId="165" fontId="0" fillId="0" borderId="0" xfId="0" applyNumberFormat="1"/>
    <xf numFmtId="3" fontId="0" fillId="16" borderId="0" xfId="0" applyNumberFormat="1" applyFill="1" applyAlignment="1">
      <alignment horizontal="right" vertical="center"/>
    </xf>
    <xf numFmtId="0" fontId="2" fillId="31" borderId="0" xfId="0" applyFont="1" applyFill="1" applyAlignment="1">
      <alignment horizontal="left"/>
    </xf>
    <xf numFmtId="164" fontId="2" fillId="31" borderId="0" xfId="0" applyNumberFormat="1" applyFont="1" applyFill="1" applyAlignment="1">
      <alignment horizontal="right"/>
    </xf>
    <xf numFmtId="9" fontId="0" fillId="32" borderId="71" xfId="0" applyNumberFormat="1" applyFill="1" applyBorder="1"/>
    <xf numFmtId="0" fontId="0" fillId="32" borderId="14" xfId="0" applyFill="1" applyBorder="1"/>
    <xf numFmtId="9" fontId="0" fillId="32" borderId="72" xfId="0" applyNumberFormat="1" applyFill="1" applyBorder="1"/>
    <xf numFmtId="1" fontId="21" fillId="16" borderId="11" xfId="0" applyNumberFormat="1" applyFont="1" applyFill="1" applyBorder="1"/>
    <xf numFmtId="0" fontId="21" fillId="16" borderId="12" xfId="0" applyFont="1" applyFill="1" applyBorder="1"/>
    <xf numFmtId="0" fontId="21" fillId="16" borderId="13" xfId="0" applyFont="1" applyFill="1" applyBorder="1"/>
    <xf numFmtId="168" fontId="22" fillId="0" borderId="25" xfId="0" applyNumberFormat="1" applyFont="1" applyBorder="1" applyAlignment="1">
      <alignment horizontal="left" vertical="center" wrapText="1"/>
    </xf>
    <xf numFmtId="168" fontId="22" fillId="26" borderId="40" xfId="0" applyNumberFormat="1" applyFont="1" applyFill="1" applyBorder="1" applyAlignment="1">
      <alignment horizontal="right" vertical="center" wrapText="1"/>
    </xf>
    <xf numFmtId="168" fontId="22" fillId="0" borderId="20" xfId="0" applyNumberFormat="1" applyFont="1" applyBorder="1" applyAlignment="1">
      <alignment horizontal="right" vertical="center" wrapText="1"/>
    </xf>
    <xf numFmtId="168" fontId="22" fillId="0" borderId="21" xfId="0" applyNumberFormat="1" applyFont="1" applyBorder="1" applyAlignment="1">
      <alignment horizontal="right" vertical="center" wrapText="1"/>
    </xf>
    <xf numFmtId="168" fontId="22" fillId="0" borderId="19" xfId="0" applyNumberFormat="1" applyFont="1" applyBorder="1" applyAlignment="1">
      <alignment horizontal="right" vertical="center" wrapText="1"/>
    </xf>
    <xf numFmtId="168" fontId="22" fillId="0" borderId="36" xfId="0" applyNumberFormat="1" applyFont="1" applyBorder="1" applyAlignment="1">
      <alignment horizontal="right" vertical="center" wrapText="1"/>
    </xf>
    <xf numFmtId="168" fontId="22" fillId="0" borderId="0" xfId="0" applyNumberFormat="1" applyFont="1" applyAlignment="1">
      <alignment horizontal="right" vertical="center" wrapText="1"/>
    </xf>
    <xf numFmtId="168" fontId="22" fillId="0" borderId="37" xfId="0" applyNumberFormat="1" applyFont="1" applyBorder="1" applyAlignment="1">
      <alignment horizontal="right" vertical="center" wrapText="1"/>
    </xf>
    <xf numFmtId="168" fontId="23" fillId="13" borderId="25" xfId="0" applyNumberFormat="1" applyFont="1" applyFill="1" applyBorder="1" applyAlignment="1">
      <alignment horizontal="left" vertical="center" wrapText="1"/>
    </xf>
    <xf numFmtId="168" fontId="22" fillId="13" borderId="22" xfId="0" applyNumberFormat="1" applyFont="1" applyFill="1" applyBorder="1" applyAlignment="1">
      <alignment horizontal="right" vertical="center" wrapText="1"/>
    </xf>
    <xf numFmtId="168" fontId="22" fillId="13" borderId="23" xfId="0" applyNumberFormat="1" applyFont="1" applyFill="1" applyBorder="1" applyAlignment="1">
      <alignment horizontal="right" vertical="center" wrapText="1"/>
    </xf>
    <xf numFmtId="168" fontId="22" fillId="13" borderId="24" xfId="0" applyNumberFormat="1" applyFont="1" applyFill="1" applyBorder="1" applyAlignment="1">
      <alignment horizontal="right" vertical="center" wrapText="1"/>
    </xf>
    <xf numFmtId="168" fontId="24" fillId="12" borderId="38" xfId="0" applyNumberFormat="1" applyFont="1" applyFill="1" applyBorder="1" applyAlignment="1">
      <alignment vertical="center" wrapText="1"/>
    </xf>
    <xf numFmtId="168" fontId="24" fillId="12" borderId="0" xfId="0" applyNumberFormat="1" applyFont="1" applyFill="1" applyAlignment="1">
      <alignment vertical="center" wrapText="1"/>
    </xf>
    <xf numFmtId="168" fontId="22" fillId="16" borderId="42" xfId="0" applyNumberFormat="1" applyFont="1" applyFill="1" applyBorder="1" applyAlignment="1">
      <alignment horizontal="left" vertical="center" wrapText="1"/>
    </xf>
    <xf numFmtId="168" fontId="22" fillId="0" borderId="30" xfId="0" applyNumberFormat="1" applyFont="1" applyBorder="1" applyAlignment="1">
      <alignment horizontal="right" vertical="center" wrapText="1"/>
    </xf>
    <xf numFmtId="168" fontId="22" fillId="0" borderId="31" xfId="0" applyNumberFormat="1" applyFont="1" applyBorder="1" applyAlignment="1">
      <alignment horizontal="right" vertical="center" wrapText="1"/>
    </xf>
    <xf numFmtId="168" fontId="22" fillId="0" borderId="32" xfId="0" applyNumberFormat="1" applyFont="1" applyBorder="1" applyAlignment="1">
      <alignment horizontal="right" vertical="center" wrapText="1"/>
    </xf>
    <xf numFmtId="168" fontId="22" fillId="16" borderId="43" xfId="0" applyNumberFormat="1" applyFont="1" applyFill="1" applyBorder="1" applyAlignment="1">
      <alignment horizontal="left" vertical="center" wrapText="1"/>
    </xf>
    <xf numFmtId="168" fontId="22" fillId="0" borderId="33" xfId="0" applyNumberFormat="1" applyFont="1" applyBorder="1" applyAlignment="1">
      <alignment horizontal="right" vertical="center" wrapText="1"/>
    </xf>
    <xf numFmtId="168" fontId="22" fillId="0" borderId="2" xfId="0" applyNumberFormat="1" applyFont="1" applyBorder="1" applyAlignment="1">
      <alignment horizontal="right" vertical="center" wrapText="1"/>
    </xf>
    <xf numFmtId="168" fontId="22" fillId="0" borderId="34" xfId="0" applyNumberFormat="1" applyFont="1" applyBorder="1" applyAlignment="1">
      <alignment horizontal="right" vertical="center" wrapText="1"/>
    </xf>
    <xf numFmtId="168" fontId="22" fillId="30" borderId="43" xfId="0" applyNumberFormat="1" applyFont="1" applyFill="1" applyBorder="1" applyAlignment="1">
      <alignment horizontal="left" vertical="center" wrapText="1"/>
    </xf>
    <xf numFmtId="168" fontId="22" fillId="30" borderId="46" xfId="0" applyNumberFormat="1" applyFont="1" applyFill="1" applyBorder="1" applyAlignment="1">
      <alignment horizontal="left" vertical="center" wrapText="1"/>
    </xf>
    <xf numFmtId="168" fontId="25" fillId="0" borderId="36" xfId="0" applyNumberFormat="1" applyFont="1" applyBorder="1"/>
    <xf numFmtId="168" fontId="24" fillId="12" borderId="25" xfId="0" applyNumberFormat="1" applyFont="1" applyFill="1" applyBorder="1" applyAlignment="1">
      <alignment vertical="center" wrapText="1"/>
    </xf>
    <xf numFmtId="168" fontId="24" fillId="12" borderId="3" xfId="0" applyNumberFormat="1" applyFont="1" applyFill="1" applyBorder="1" applyAlignment="1">
      <alignment vertical="center" wrapText="1"/>
    </xf>
    <xf numFmtId="168" fontId="23" fillId="15" borderId="25" xfId="0" applyNumberFormat="1" applyFont="1" applyFill="1" applyBorder="1" applyAlignment="1">
      <alignment horizontal="left" vertical="center" wrapText="1"/>
    </xf>
    <xf numFmtId="168" fontId="22" fillId="15" borderId="4" xfId="0" applyNumberFormat="1" applyFont="1" applyFill="1" applyBorder="1" applyAlignment="1">
      <alignment horizontal="right" vertical="center" wrapText="1"/>
    </xf>
    <xf numFmtId="168" fontId="25" fillId="0" borderId="0" xfId="0" applyNumberFormat="1" applyFont="1"/>
    <xf numFmtId="168" fontId="23" fillId="14" borderId="40" xfId="0" applyNumberFormat="1" applyFont="1" applyFill="1" applyBorder="1" applyAlignment="1">
      <alignment horizontal="left" vertical="center" wrapText="1"/>
    </xf>
    <xf numFmtId="168" fontId="22" fillId="14" borderId="35" xfId="0" applyNumberFormat="1" applyFont="1" applyFill="1" applyBorder="1" applyAlignment="1">
      <alignment horizontal="right" vertical="center" wrapText="1"/>
    </xf>
    <xf numFmtId="168" fontId="22" fillId="14" borderId="41" xfId="0" applyNumberFormat="1" applyFont="1" applyFill="1" applyBorder="1" applyAlignment="1">
      <alignment horizontal="right" vertical="center" wrapText="1"/>
    </xf>
    <xf numFmtId="168" fontId="22" fillId="14" borderId="40" xfId="0" applyNumberFormat="1" applyFont="1" applyFill="1" applyBorder="1" applyAlignment="1">
      <alignment horizontal="right" vertical="center" wrapText="1"/>
    </xf>
    <xf numFmtId="168" fontId="23" fillId="14" borderId="36" xfId="0" applyNumberFormat="1" applyFont="1" applyFill="1" applyBorder="1" applyAlignment="1">
      <alignment horizontal="left" vertical="center" wrapText="1"/>
    </xf>
    <xf numFmtId="168" fontId="22" fillId="14" borderId="36" xfId="0" applyNumberFormat="1" applyFont="1" applyFill="1" applyBorder="1" applyAlignment="1">
      <alignment horizontal="right" vertical="center" wrapText="1"/>
    </xf>
    <xf numFmtId="168" fontId="22" fillId="14" borderId="0" xfId="0" applyNumberFormat="1" applyFont="1" applyFill="1" applyAlignment="1">
      <alignment horizontal="right" vertical="center" wrapText="1"/>
    </xf>
    <xf numFmtId="168" fontId="22" fillId="14" borderId="37" xfId="0" applyNumberFormat="1" applyFont="1" applyFill="1" applyBorder="1" applyAlignment="1">
      <alignment horizontal="right" vertical="center" wrapText="1"/>
    </xf>
    <xf numFmtId="168" fontId="23" fillId="17" borderId="40" xfId="0" applyNumberFormat="1" applyFont="1" applyFill="1" applyBorder="1" applyAlignment="1">
      <alignment horizontal="left" vertical="center" wrapText="1"/>
    </xf>
    <xf numFmtId="168" fontId="22" fillId="17" borderId="52" xfId="0" applyNumberFormat="1" applyFont="1" applyFill="1" applyBorder="1" applyAlignment="1">
      <alignment horizontal="right" vertical="center" wrapText="1"/>
    </xf>
    <xf numFmtId="168" fontId="22" fillId="17" borderId="53" xfId="0" applyNumberFormat="1" applyFont="1" applyFill="1" applyBorder="1" applyAlignment="1">
      <alignment horizontal="right" vertical="center" wrapText="1"/>
    </xf>
    <xf numFmtId="168" fontId="22" fillId="17" borderId="54" xfId="0" applyNumberFormat="1" applyFont="1" applyFill="1" applyBorder="1" applyAlignment="1">
      <alignment horizontal="right" vertical="center" wrapText="1"/>
    </xf>
    <xf numFmtId="168" fontId="23" fillId="14" borderId="38" xfId="0" applyNumberFormat="1" applyFont="1" applyFill="1" applyBorder="1" applyAlignment="1">
      <alignment horizontal="left" vertical="center" wrapText="1"/>
    </xf>
    <xf numFmtId="168" fontId="23" fillId="2" borderId="40" xfId="0" applyNumberFormat="1" applyFont="1" applyFill="1" applyBorder="1" applyAlignment="1">
      <alignment horizontal="left" vertical="center" wrapText="1"/>
    </xf>
    <xf numFmtId="168" fontId="22" fillId="2" borderId="22" xfId="0" applyNumberFormat="1" applyFont="1" applyFill="1" applyBorder="1" applyAlignment="1">
      <alignment horizontal="right" vertical="center" wrapText="1"/>
    </xf>
    <xf numFmtId="168" fontId="25" fillId="16" borderId="45" xfId="0" applyNumberFormat="1" applyFont="1" applyFill="1" applyBorder="1" applyAlignment="1">
      <alignment horizontal="left" vertical="center"/>
    </xf>
    <xf numFmtId="168" fontId="25" fillId="0" borderId="20" xfId="0" applyNumberFormat="1" applyFont="1" applyBorder="1"/>
    <xf numFmtId="168" fontId="25" fillId="0" borderId="21" xfId="0" applyNumberFormat="1" applyFont="1" applyBorder="1"/>
    <xf numFmtId="168" fontId="25" fillId="16" borderId="49" xfId="0" applyNumberFormat="1" applyFont="1" applyFill="1" applyBorder="1" applyAlignment="1">
      <alignment horizontal="left" vertical="center"/>
    </xf>
    <xf numFmtId="168" fontId="25" fillId="0" borderId="23" xfId="0" applyNumberFormat="1" applyFont="1" applyBorder="1"/>
    <xf numFmtId="168" fontId="25" fillId="0" borderId="24" xfId="0" applyNumberFormat="1" applyFont="1" applyBorder="1"/>
    <xf numFmtId="168" fontId="25" fillId="0" borderId="49" xfId="0" applyNumberFormat="1" applyFont="1" applyBorder="1"/>
    <xf numFmtId="168" fontId="22" fillId="2" borderId="18" xfId="0" applyNumberFormat="1" applyFont="1" applyFill="1" applyBorder="1" applyAlignment="1">
      <alignment horizontal="right" vertical="center" wrapText="1"/>
    </xf>
    <xf numFmtId="0" fontId="1" fillId="0" borderId="0" xfId="0" applyFont="1" applyAlignment="1">
      <alignment horizontal="center" vertical="center"/>
    </xf>
    <xf numFmtId="0" fontId="6" fillId="0" borderId="8" xfId="0" applyFont="1" applyBorder="1" applyAlignment="1">
      <alignment horizontal="center" vertical="center"/>
    </xf>
    <xf numFmtId="3" fontId="8" fillId="19" borderId="9" xfId="0" applyNumberFormat="1" applyFont="1" applyFill="1" applyBorder="1" applyAlignment="1">
      <alignment horizontal="center" vertical="center" wrapText="1"/>
    </xf>
    <xf numFmtId="3" fontId="8" fillId="19" borderId="0" xfId="0" applyNumberFormat="1" applyFont="1" applyFill="1" applyAlignment="1">
      <alignment horizontal="center" vertical="center" wrapText="1"/>
    </xf>
    <xf numFmtId="3" fontId="8" fillId="19" borderId="23" xfId="0" applyNumberFormat="1" applyFont="1" applyFill="1" applyBorder="1" applyAlignment="1">
      <alignment horizontal="center" vertical="center" wrapText="1"/>
    </xf>
    <xf numFmtId="0" fontId="12" fillId="24" borderId="0" xfId="0" applyFont="1" applyFill="1" applyAlignment="1">
      <alignment horizontal="center" vertical="center"/>
    </xf>
    <xf numFmtId="0" fontId="13" fillId="24" borderId="10" xfId="0" applyFont="1" applyFill="1" applyBorder="1" applyAlignment="1">
      <alignment horizontal="center" vertical="center" wrapText="1"/>
    </xf>
    <xf numFmtId="0" fontId="11" fillId="21" borderId="17" xfId="0" applyFont="1" applyFill="1" applyBorder="1" applyAlignment="1">
      <alignment horizontal="center" vertical="center"/>
    </xf>
    <xf numFmtId="0" fontId="0" fillId="18" borderId="0" xfId="0" applyFill="1" applyAlignment="1">
      <alignment horizontal="center" vertical="center"/>
    </xf>
    <xf numFmtId="0" fontId="0" fillId="32" borderId="69" xfId="0" applyFill="1" applyBorder="1" applyAlignment="1">
      <alignment horizontal="left"/>
    </xf>
    <xf numFmtId="0" fontId="0" fillId="32" borderId="70" xfId="0" applyFill="1" applyBorder="1" applyAlignment="1">
      <alignment horizontal="left"/>
    </xf>
    <xf numFmtId="1" fontId="0" fillId="32" borderId="9" xfId="0" applyNumberFormat="1" applyFill="1" applyBorder="1" applyAlignment="1">
      <alignment horizontal="left" wrapText="1"/>
    </xf>
    <xf numFmtId="1" fontId="0" fillId="32" borderId="0" xfId="0" applyNumberFormat="1" applyFill="1" applyAlignment="1">
      <alignment horizontal="left" wrapText="1"/>
    </xf>
    <xf numFmtId="1" fontId="0" fillId="32" borderId="15" xfId="0" applyNumberFormat="1" applyFill="1" applyBorder="1" applyAlignment="1">
      <alignment horizontal="left" wrapText="1"/>
    </xf>
    <xf numFmtId="1" fontId="0" fillId="32" borderId="16" xfId="0" applyNumberFormat="1" applyFill="1" applyBorder="1" applyAlignment="1">
      <alignment horizontal="left" wrapText="1"/>
    </xf>
    <xf numFmtId="0" fontId="4" fillId="12" borderId="38" xfId="0" applyFont="1" applyFill="1" applyBorder="1" applyAlignment="1">
      <alignment horizontal="left" vertical="center" wrapText="1"/>
    </xf>
    <xf numFmtId="0" fontId="4" fillId="12" borderId="0" xfId="0" applyFont="1" applyFill="1" applyAlignment="1">
      <alignment horizontal="left" vertical="center" wrapText="1"/>
    </xf>
    <xf numFmtId="0" fontId="19" fillId="14" borderId="40" xfId="0" applyFont="1" applyFill="1" applyBorder="1" applyAlignment="1">
      <alignment horizontal="center" vertical="center" wrapText="1"/>
    </xf>
    <xf numFmtId="0" fontId="19" fillId="14" borderId="35"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20" fillId="0" borderId="0" xfId="0" applyFont="1" applyAlignment="1">
      <alignment horizontal="left" vertical="center" wrapText="1"/>
    </xf>
    <xf numFmtId="0" fontId="3" fillId="33" borderId="0" xfId="0" applyFont="1" applyFill="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8" fontId="23" fillId="14" borderId="40" xfId="0" applyNumberFormat="1" applyFont="1" applyFill="1" applyBorder="1" applyAlignment="1">
      <alignment horizontal="center" vertical="center" wrapText="1"/>
    </xf>
    <xf numFmtId="168" fontId="23" fillId="14" borderId="35" xfId="0" applyNumberFormat="1" applyFont="1" applyFill="1" applyBorder="1" applyAlignment="1">
      <alignment horizontal="center" vertical="center" wrapText="1"/>
    </xf>
    <xf numFmtId="168" fontId="23" fillId="14" borderId="41" xfId="0" applyNumberFormat="1" applyFont="1" applyFill="1" applyBorder="1" applyAlignment="1">
      <alignment horizontal="center" vertical="center" wrapText="1"/>
    </xf>
    <xf numFmtId="0" fontId="3" fillId="11" borderId="0" xfId="0" applyFont="1" applyFill="1" applyAlignment="1">
      <alignment horizontal="center" vertical="center" wrapText="1"/>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4" fillId="11" borderId="65" xfId="0" applyFont="1" applyFill="1" applyBorder="1" applyAlignment="1">
      <alignment horizontal="center" vertical="center" wrapText="1"/>
    </xf>
    <xf numFmtId="0" fontId="4" fillId="11" borderId="51"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9" fillId="14" borderId="23" xfId="0" applyFont="1" applyFill="1" applyBorder="1" applyAlignment="1">
      <alignment horizontal="center" vertical="center" wrapText="1"/>
    </xf>
    <xf numFmtId="0" fontId="4" fillId="11" borderId="64" xfId="0" applyFont="1" applyFill="1" applyBorder="1" applyAlignment="1">
      <alignment horizontal="center" vertical="center" wrapText="1"/>
    </xf>
    <xf numFmtId="0" fontId="4" fillId="11" borderId="50" xfId="0" applyFont="1" applyFill="1" applyBorder="1" applyAlignment="1">
      <alignment horizontal="center" vertical="center" wrapText="1"/>
    </xf>
    <xf numFmtId="0" fontId="3" fillId="26" borderId="0" xfId="0" applyFont="1" applyFill="1" applyAlignment="1">
      <alignment horizontal="center" vertical="center" wrapText="1"/>
    </xf>
    <xf numFmtId="0" fontId="20" fillId="0" borderId="0" xfId="0" applyFont="1" applyAlignment="1">
      <alignment horizontal="center" vertical="center" wrapText="1"/>
    </xf>
    <xf numFmtId="0" fontId="0" fillId="33" borderId="17" xfId="0" applyFill="1" applyBorder="1"/>
    <xf numFmtId="3" fontId="0" fillId="34" borderId="17" xfId="0" applyNumberFormat="1" applyFill="1" applyBorder="1" applyAlignment="1">
      <alignment horizontal="right" wrapText="1"/>
    </xf>
    <xf numFmtId="0" fontId="0" fillId="35" borderId="17" xfId="0" applyFill="1" applyBorder="1"/>
    <xf numFmtId="3" fontId="0" fillId="35" borderId="17" xfId="0" applyNumberForma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9"/>
  <sheetViews>
    <sheetView tabSelected="1" zoomScale="112" zoomScaleNormal="112" workbookViewId="0">
      <pane xSplit="2" ySplit="2" topLeftCell="C3" activePane="bottomRight" state="frozen"/>
      <selection pane="topRight"/>
      <selection pane="bottomLeft"/>
      <selection pane="bottomRight" activeCell="F17" sqref="F17"/>
    </sheetView>
  </sheetViews>
  <sheetFormatPr baseColWidth="10" defaultColWidth="9.109375" defaultRowHeight="14.4" x14ac:dyDescent="0.3"/>
  <cols>
    <col min="1" max="1" width="1.5546875" style="8" customWidth="1"/>
    <col min="2" max="2" width="55" style="8" customWidth="1"/>
    <col min="3" max="15" width="14" style="8" customWidth="1"/>
    <col min="16" max="16" width="10.5546875" style="8" bestFit="1" customWidth="1"/>
    <col min="17" max="16384" width="9.109375" style="8"/>
  </cols>
  <sheetData>
    <row r="1" spans="2:16" ht="21.9" customHeight="1" x14ac:dyDescent="0.3">
      <c r="B1" s="224" t="s">
        <v>124</v>
      </c>
      <c r="C1" s="224"/>
      <c r="D1" s="224"/>
      <c r="E1" s="224"/>
      <c r="F1" s="224"/>
      <c r="G1" s="224"/>
      <c r="H1" s="224"/>
      <c r="I1" s="224"/>
      <c r="J1" s="224"/>
      <c r="K1" s="224"/>
      <c r="L1" s="224"/>
      <c r="M1" s="224"/>
      <c r="N1" s="224"/>
      <c r="O1" s="224"/>
    </row>
    <row r="2" spans="2:16" ht="18" customHeight="1" x14ac:dyDescent="0.3">
      <c r="B2" s="11"/>
      <c r="C2" s="11" t="s">
        <v>0</v>
      </c>
      <c r="D2" s="11" t="s">
        <v>1</v>
      </c>
      <c r="E2" s="11" t="s">
        <v>2</v>
      </c>
      <c r="F2" s="11" t="s">
        <v>3</v>
      </c>
      <c r="G2" s="11" t="s">
        <v>4</v>
      </c>
      <c r="H2" s="11" t="s">
        <v>5</v>
      </c>
      <c r="I2" s="11" t="s">
        <v>6</v>
      </c>
      <c r="J2" s="11" t="s">
        <v>7</v>
      </c>
      <c r="K2" s="11" t="s">
        <v>8</v>
      </c>
      <c r="L2" s="11" t="s">
        <v>9</v>
      </c>
      <c r="M2" s="11" t="s">
        <v>10</v>
      </c>
      <c r="N2" s="11" t="s">
        <v>11</v>
      </c>
      <c r="O2" s="11" t="s">
        <v>12</v>
      </c>
    </row>
    <row r="3" spans="2:16" x14ac:dyDescent="0.3">
      <c r="B3" s="12" t="s">
        <v>13</v>
      </c>
      <c r="C3" s="13">
        <f>SUM(C4:C7)</f>
        <v>86000</v>
      </c>
      <c r="D3" s="13">
        <f t="shared" ref="D3:O3" si="0">SUM(D4:D7)</f>
        <v>81000</v>
      </c>
      <c r="E3" s="13">
        <f t="shared" si="0"/>
        <v>91000</v>
      </c>
      <c r="F3" s="13">
        <f t="shared" si="0"/>
        <v>96000</v>
      </c>
      <c r="G3" s="13">
        <f t="shared" si="0"/>
        <v>101000</v>
      </c>
      <c r="H3" s="13">
        <f t="shared" si="0"/>
        <v>106000</v>
      </c>
      <c r="I3" s="13">
        <f t="shared" si="0"/>
        <v>111000</v>
      </c>
      <c r="J3" s="13">
        <f t="shared" si="0"/>
        <v>116000</v>
      </c>
      <c r="K3" s="13">
        <f t="shared" si="0"/>
        <v>101000</v>
      </c>
      <c r="L3" s="13">
        <f t="shared" si="0"/>
        <v>96000</v>
      </c>
      <c r="M3" s="13">
        <f t="shared" si="0"/>
        <v>91000</v>
      </c>
      <c r="N3" s="13">
        <f t="shared" si="0"/>
        <v>121000</v>
      </c>
      <c r="O3" s="13">
        <f t="shared" si="0"/>
        <v>1197000</v>
      </c>
      <c r="P3" s="33"/>
    </row>
    <row r="4" spans="2:16" x14ac:dyDescent="0.3">
      <c r="B4" s="9" t="s">
        <v>80</v>
      </c>
      <c r="C4" s="10">
        <v>51000</v>
      </c>
      <c r="D4" s="10">
        <v>48000</v>
      </c>
      <c r="E4" s="10">
        <v>54000</v>
      </c>
      <c r="F4" s="10">
        <v>57000</v>
      </c>
      <c r="G4" s="10">
        <v>60000</v>
      </c>
      <c r="H4" s="10">
        <v>63000</v>
      </c>
      <c r="I4" s="10">
        <v>66000</v>
      </c>
      <c r="J4" s="10">
        <v>69000</v>
      </c>
      <c r="K4" s="10">
        <v>60000</v>
      </c>
      <c r="L4" s="10">
        <v>57000</v>
      </c>
      <c r="M4" s="10">
        <v>54000</v>
      </c>
      <c r="N4" s="10">
        <v>72000</v>
      </c>
      <c r="O4" s="10">
        <f>SUM(C4:N4)</f>
        <v>711000</v>
      </c>
      <c r="P4" s="33"/>
    </row>
    <row r="5" spans="2:16" x14ac:dyDescent="0.3">
      <c r="B5" s="9" t="s">
        <v>73</v>
      </c>
      <c r="C5" s="10">
        <v>800</v>
      </c>
      <c r="D5" s="10">
        <v>800</v>
      </c>
      <c r="E5" s="10">
        <v>800</v>
      </c>
      <c r="F5" s="10">
        <v>800</v>
      </c>
      <c r="G5" s="10">
        <v>800</v>
      </c>
      <c r="H5" s="10">
        <v>800</v>
      </c>
      <c r="I5" s="10">
        <v>800</v>
      </c>
      <c r="J5" s="10">
        <v>800</v>
      </c>
      <c r="K5" s="10">
        <v>800</v>
      </c>
      <c r="L5" s="10">
        <v>800</v>
      </c>
      <c r="M5" s="10">
        <v>800</v>
      </c>
      <c r="N5" s="10">
        <v>800</v>
      </c>
      <c r="O5" s="10">
        <f t="shared" ref="O5:O47" si="1">SUM(C5:N5)</f>
        <v>9600</v>
      </c>
      <c r="P5" s="33"/>
    </row>
    <row r="6" spans="2:16" x14ac:dyDescent="0.3">
      <c r="B6" s="9" t="s">
        <v>74</v>
      </c>
      <c r="C6" s="10">
        <v>34000</v>
      </c>
      <c r="D6" s="10">
        <v>32000</v>
      </c>
      <c r="E6" s="10">
        <v>36000</v>
      </c>
      <c r="F6" s="10">
        <v>38000</v>
      </c>
      <c r="G6" s="10">
        <v>40000</v>
      </c>
      <c r="H6" s="10">
        <v>42000</v>
      </c>
      <c r="I6" s="10">
        <v>44000</v>
      </c>
      <c r="J6" s="10">
        <v>46000</v>
      </c>
      <c r="K6" s="10">
        <v>40000</v>
      </c>
      <c r="L6" s="10">
        <v>38000</v>
      </c>
      <c r="M6" s="10">
        <v>36000</v>
      </c>
      <c r="N6" s="10">
        <v>48000</v>
      </c>
      <c r="O6" s="10">
        <f t="shared" si="1"/>
        <v>474000</v>
      </c>
      <c r="P6" s="33"/>
    </row>
    <row r="7" spans="2:16" x14ac:dyDescent="0.3">
      <c r="B7" s="9" t="s">
        <v>75</v>
      </c>
      <c r="C7" s="10">
        <v>200</v>
      </c>
      <c r="D7" s="10">
        <v>200</v>
      </c>
      <c r="E7" s="10">
        <v>200</v>
      </c>
      <c r="F7" s="10">
        <v>200</v>
      </c>
      <c r="G7" s="10">
        <v>200</v>
      </c>
      <c r="H7" s="10">
        <v>200</v>
      </c>
      <c r="I7" s="10">
        <v>200</v>
      </c>
      <c r="J7" s="10">
        <v>200</v>
      </c>
      <c r="K7" s="10">
        <v>200</v>
      </c>
      <c r="L7" s="10">
        <v>200</v>
      </c>
      <c r="M7" s="10">
        <v>200</v>
      </c>
      <c r="N7" s="10">
        <v>200</v>
      </c>
      <c r="O7" s="10">
        <f t="shared" si="1"/>
        <v>2400</v>
      </c>
      <c r="P7" s="33"/>
    </row>
    <row r="8" spans="2:16" x14ac:dyDescent="0.3">
      <c r="B8" s="12" t="s">
        <v>14</v>
      </c>
      <c r="C8" s="13">
        <f>SUM(C9:C13)</f>
        <v>24660</v>
      </c>
      <c r="D8" s="13">
        <f t="shared" ref="D8:O8" si="2">SUM(D9:D13)</f>
        <v>22810</v>
      </c>
      <c r="E8" s="13">
        <f t="shared" si="2"/>
        <v>25160</v>
      </c>
      <c r="F8" s="13">
        <f t="shared" si="2"/>
        <v>26560</v>
      </c>
      <c r="G8" s="13">
        <f t="shared" si="2"/>
        <v>27860</v>
      </c>
      <c r="H8" s="13">
        <f t="shared" si="2"/>
        <v>29060</v>
      </c>
      <c r="I8" s="13">
        <f t="shared" si="2"/>
        <v>31160</v>
      </c>
      <c r="J8" s="13">
        <f t="shared" si="2"/>
        <v>32110</v>
      </c>
      <c r="K8" s="13">
        <f t="shared" si="2"/>
        <v>27910</v>
      </c>
      <c r="L8" s="13">
        <f t="shared" si="2"/>
        <v>26560</v>
      </c>
      <c r="M8" s="13">
        <f t="shared" si="2"/>
        <v>25160</v>
      </c>
      <c r="N8" s="13">
        <f t="shared" si="2"/>
        <v>33260</v>
      </c>
      <c r="O8" s="13">
        <f t="shared" si="2"/>
        <v>332270</v>
      </c>
      <c r="P8" s="33"/>
    </row>
    <row r="9" spans="2:16" x14ac:dyDescent="0.3">
      <c r="B9" s="9" t="s">
        <v>15</v>
      </c>
      <c r="C9" s="10">
        <v>2000</v>
      </c>
      <c r="D9" s="10">
        <v>2000</v>
      </c>
      <c r="E9" s="10">
        <v>2000</v>
      </c>
      <c r="F9" s="10">
        <v>2000</v>
      </c>
      <c r="G9" s="10">
        <v>2000</v>
      </c>
      <c r="H9" s="10">
        <v>2000</v>
      </c>
      <c r="I9" s="10">
        <v>2000</v>
      </c>
      <c r="J9" s="10">
        <v>2000</v>
      </c>
      <c r="K9" s="10">
        <v>2000</v>
      </c>
      <c r="L9" s="10">
        <v>2000</v>
      </c>
      <c r="M9" s="10">
        <v>2000</v>
      </c>
      <c r="N9" s="10">
        <v>2000</v>
      </c>
      <c r="O9" s="10">
        <f t="shared" si="1"/>
        <v>24000</v>
      </c>
      <c r="P9" s="33"/>
    </row>
    <row r="10" spans="2:16" x14ac:dyDescent="0.3">
      <c r="B10" s="9" t="s">
        <v>76</v>
      </c>
      <c r="C10" s="10">
        <v>11220</v>
      </c>
      <c r="D10" s="10">
        <v>10560</v>
      </c>
      <c r="E10" s="10">
        <v>11880</v>
      </c>
      <c r="F10" s="10">
        <v>12540</v>
      </c>
      <c r="G10" s="10">
        <v>13200</v>
      </c>
      <c r="H10" s="10">
        <v>13860</v>
      </c>
      <c r="I10" s="10">
        <v>14520</v>
      </c>
      <c r="J10" s="10">
        <v>15180</v>
      </c>
      <c r="K10" s="10">
        <v>13200</v>
      </c>
      <c r="L10" s="10">
        <v>12540</v>
      </c>
      <c r="M10" s="10">
        <v>11880</v>
      </c>
      <c r="N10" s="10">
        <v>15840</v>
      </c>
      <c r="O10" s="10">
        <f t="shared" si="1"/>
        <v>156420</v>
      </c>
      <c r="P10" s="33"/>
    </row>
    <row r="11" spans="2:16" x14ac:dyDescent="0.3">
      <c r="B11" s="9" t="s">
        <v>77</v>
      </c>
      <c r="C11" s="10">
        <v>6800</v>
      </c>
      <c r="D11" s="10">
        <v>6400</v>
      </c>
      <c r="E11" s="10">
        <v>7200</v>
      </c>
      <c r="F11" s="10">
        <v>7600</v>
      </c>
      <c r="G11" s="10">
        <v>8000</v>
      </c>
      <c r="H11" s="10">
        <v>8400</v>
      </c>
      <c r="I11" s="10">
        <v>8800</v>
      </c>
      <c r="J11" s="10">
        <v>9200</v>
      </c>
      <c r="K11" s="10">
        <v>8000</v>
      </c>
      <c r="L11" s="10">
        <v>7600</v>
      </c>
      <c r="M11" s="10">
        <v>7200</v>
      </c>
      <c r="N11" s="10">
        <v>9600</v>
      </c>
      <c r="O11" s="10">
        <f t="shared" si="1"/>
        <v>94800</v>
      </c>
      <c r="P11" s="33"/>
    </row>
    <row r="12" spans="2:16" x14ac:dyDescent="0.3">
      <c r="B12" s="9" t="s">
        <v>78</v>
      </c>
      <c r="C12" s="10">
        <v>1700</v>
      </c>
      <c r="D12" s="10">
        <v>1600</v>
      </c>
      <c r="E12" s="10">
        <v>1800</v>
      </c>
      <c r="F12" s="10">
        <v>1900</v>
      </c>
      <c r="G12" s="10">
        <v>2000</v>
      </c>
      <c r="H12" s="10">
        <v>2100</v>
      </c>
      <c r="I12" s="10">
        <v>2200</v>
      </c>
      <c r="J12" s="10">
        <v>2300</v>
      </c>
      <c r="K12" s="10">
        <v>2000</v>
      </c>
      <c r="L12" s="10">
        <v>1900</v>
      </c>
      <c r="M12" s="10">
        <v>1800</v>
      </c>
      <c r="N12" s="10">
        <v>2400</v>
      </c>
      <c r="O12" s="10">
        <f t="shared" si="1"/>
        <v>23700</v>
      </c>
      <c r="P12" s="24"/>
    </row>
    <row r="13" spans="2:16" x14ac:dyDescent="0.3">
      <c r="B13" s="9" t="s">
        <v>79</v>
      </c>
      <c r="C13" s="10">
        <v>2940</v>
      </c>
      <c r="D13" s="10">
        <v>2250</v>
      </c>
      <c r="E13" s="10">
        <v>2280</v>
      </c>
      <c r="F13" s="10">
        <v>2520</v>
      </c>
      <c r="G13" s="10">
        <v>2660</v>
      </c>
      <c r="H13" s="10">
        <v>2700</v>
      </c>
      <c r="I13" s="10">
        <v>3640</v>
      </c>
      <c r="J13" s="10">
        <v>3430</v>
      </c>
      <c r="K13" s="10">
        <v>2710</v>
      </c>
      <c r="L13" s="10">
        <v>2520</v>
      </c>
      <c r="M13" s="10">
        <v>2280</v>
      </c>
      <c r="N13" s="10">
        <v>3420</v>
      </c>
      <c r="O13" s="10">
        <f t="shared" si="1"/>
        <v>33350</v>
      </c>
      <c r="P13" s="10"/>
    </row>
    <row r="14" spans="2:16" x14ac:dyDescent="0.3">
      <c r="B14" s="14" t="s">
        <v>16</v>
      </c>
      <c r="C14" s="15">
        <f>C3-C8</f>
        <v>61340</v>
      </c>
      <c r="D14" s="15">
        <f t="shared" ref="D14:O14" si="3">D3-D8</f>
        <v>58190</v>
      </c>
      <c r="E14" s="15">
        <f t="shared" si="3"/>
        <v>65840</v>
      </c>
      <c r="F14" s="15">
        <f t="shared" si="3"/>
        <v>69440</v>
      </c>
      <c r="G14" s="15">
        <f t="shared" si="3"/>
        <v>73140</v>
      </c>
      <c r="H14" s="15">
        <f t="shared" si="3"/>
        <v>76940</v>
      </c>
      <c r="I14" s="15">
        <f t="shared" si="3"/>
        <v>79840</v>
      </c>
      <c r="J14" s="15">
        <f t="shared" si="3"/>
        <v>83890</v>
      </c>
      <c r="K14" s="15">
        <f t="shared" si="3"/>
        <v>73090</v>
      </c>
      <c r="L14" s="15">
        <f t="shared" si="3"/>
        <v>69440</v>
      </c>
      <c r="M14" s="15">
        <f t="shared" si="3"/>
        <v>65840</v>
      </c>
      <c r="N14" s="15">
        <f t="shared" si="3"/>
        <v>87740</v>
      </c>
      <c r="O14" s="15">
        <f t="shared" si="3"/>
        <v>864730</v>
      </c>
      <c r="P14" s="33"/>
    </row>
    <row r="15" spans="2:16" x14ac:dyDescent="0.3">
      <c r="B15" s="16" t="s">
        <v>17</v>
      </c>
      <c r="C15" s="17">
        <f>SUM(C16:C18)</f>
        <v>37500</v>
      </c>
      <c r="D15" s="17">
        <f t="shared" ref="D15:O15" si="4">SUM(D16:D18)</f>
        <v>37500</v>
      </c>
      <c r="E15" s="17">
        <f t="shared" si="4"/>
        <v>37500</v>
      </c>
      <c r="F15" s="17">
        <f t="shared" si="4"/>
        <v>37500</v>
      </c>
      <c r="G15" s="17">
        <f t="shared" si="4"/>
        <v>37500</v>
      </c>
      <c r="H15" s="17">
        <f t="shared" si="4"/>
        <v>37500</v>
      </c>
      <c r="I15" s="17">
        <f t="shared" si="4"/>
        <v>37500</v>
      </c>
      <c r="J15" s="17">
        <f t="shared" si="4"/>
        <v>37500</v>
      </c>
      <c r="K15" s="17">
        <f t="shared" si="4"/>
        <v>37500</v>
      </c>
      <c r="L15" s="17">
        <f t="shared" si="4"/>
        <v>37500</v>
      </c>
      <c r="M15" s="17">
        <f t="shared" si="4"/>
        <v>37500</v>
      </c>
      <c r="N15" s="17">
        <f t="shared" si="4"/>
        <v>42900</v>
      </c>
      <c r="O15" s="17">
        <f t="shared" si="4"/>
        <v>455400</v>
      </c>
      <c r="P15" s="33"/>
    </row>
    <row r="16" spans="2:16" x14ac:dyDescent="0.3">
      <c r="B16" s="9" t="s">
        <v>18</v>
      </c>
      <c r="C16" s="10">
        <v>9000</v>
      </c>
      <c r="D16" s="10">
        <v>9000</v>
      </c>
      <c r="E16" s="10">
        <v>9000</v>
      </c>
      <c r="F16" s="10">
        <v>9000</v>
      </c>
      <c r="G16" s="10">
        <v>9000</v>
      </c>
      <c r="H16" s="10">
        <v>9000</v>
      </c>
      <c r="I16" s="10">
        <v>9000</v>
      </c>
      <c r="J16" s="10">
        <v>9000</v>
      </c>
      <c r="K16" s="10">
        <v>9000</v>
      </c>
      <c r="L16" s="10">
        <v>9000</v>
      </c>
      <c r="M16" s="10">
        <v>9000</v>
      </c>
      <c r="N16" s="10">
        <v>10200</v>
      </c>
      <c r="O16" s="10">
        <f t="shared" si="1"/>
        <v>109200</v>
      </c>
      <c r="P16" s="33"/>
    </row>
    <row r="17" spans="2:16" x14ac:dyDescent="0.3">
      <c r="B17" s="9" t="s">
        <v>19</v>
      </c>
      <c r="C17" s="10">
        <v>28000</v>
      </c>
      <c r="D17" s="10">
        <v>28000</v>
      </c>
      <c r="E17" s="10">
        <v>28000</v>
      </c>
      <c r="F17" s="10">
        <v>28000</v>
      </c>
      <c r="G17" s="10">
        <v>28000</v>
      </c>
      <c r="H17" s="10">
        <v>28000</v>
      </c>
      <c r="I17" s="10">
        <v>28000</v>
      </c>
      <c r="J17" s="10">
        <v>28000</v>
      </c>
      <c r="K17" s="10">
        <v>28000</v>
      </c>
      <c r="L17" s="10">
        <v>28000</v>
      </c>
      <c r="M17" s="10">
        <v>28000</v>
      </c>
      <c r="N17" s="10">
        <v>32000</v>
      </c>
      <c r="O17" s="10">
        <f t="shared" si="1"/>
        <v>340000</v>
      </c>
      <c r="P17" s="33"/>
    </row>
    <row r="18" spans="2:16" x14ac:dyDescent="0.3">
      <c r="B18" s="9" t="s">
        <v>20</v>
      </c>
      <c r="C18" s="10">
        <v>500</v>
      </c>
      <c r="D18" s="10">
        <v>500</v>
      </c>
      <c r="E18" s="10">
        <v>500</v>
      </c>
      <c r="F18" s="10">
        <v>500</v>
      </c>
      <c r="G18" s="10">
        <v>500</v>
      </c>
      <c r="H18" s="10">
        <v>500</v>
      </c>
      <c r="I18" s="10">
        <v>500</v>
      </c>
      <c r="J18" s="10">
        <v>500</v>
      </c>
      <c r="K18" s="10">
        <v>500</v>
      </c>
      <c r="L18" s="10">
        <v>500</v>
      </c>
      <c r="M18" s="10">
        <v>500</v>
      </c>
      <c r="N18" s="10">
        <v>700</v>
      </c>
      <c r="O18" s="10">
        <f t="shared" si="1"/>
        <v>6200</v>
      </c>
      <c r="P18" s="33"/>
    </row>
    <row r="19" spans="2:16" x14ac:dyDescent="0.3">
      <c r="B19" s="18" t="s">
        <v>21</v>
      </c>
      <c r="C19" s="19">
        <f>SUM(C20:C25)</f>
        <v>11500</v>
      </c>
      <c r="D19" s="19">
        <f t="shared" ref="D19:O19" si="5">SUM(D20:D25)</f>
        <v>11500</v>
      </c>
      <c r="E19" s="19">
        <f t="shared" si="5"/>
        <v>11500</v>
      </c>
      <c r="F19" s="19">
        <f t="shared" si="5"/>
        <v>11500</v>
      </c>
      <c r="G19" s="19">
        <f t="shared" si="5"/>
        <v>11500</v>
      </c>
      <c r="H19" s="19">
        <f t="shared" si="5"/>
        <v>11500</v>
      </c>
      <c r="I19" s="19">
        <f t="shared" si="5"/>
        <v>11500</v>
      </c>
      <c r="J19" s="19">
        <f t="shared" si="5"/>
        <v>11500</v>
      </c>
      <c r="K19" s="19">
        <f t="shared" si="5"/>
        <v>11500</v>
      </c>
      <c r="L19" s="19">
        <f t="shared" si="5"/>
        <v>11500</v>
      </c>
      <c r="M19" s="19">
        <f t="shared" si="5"/>
        <v>11500</v>
      </c>
      <c r="N19" s="19">
        <f t="shared" si="5"/>
        <v>11500</v>
      </c>
      <c r="O19" s="19">
        <f t="shared" si="5"/>
        <v>138000</v>
      </c>
      <c r="P19" s="33"/>
    </row>
    <row r="20" spans="2:16" x14ac:dyDescent="0.3">
      <c r="B20" s="9" t="s">
        <v>72</v>
      </c>
      <c r="C20" s="10">
        <v>6500</v>
      </c>
      <c r="D20" s="10">
        <v>6500</v>
      </c>
      <c r="E20" s="10">
        <v>6500</v>
      </c>
      <c r="F20" s="10">
        <v>6500</v>
      </c>
      <c r="G20" s="10">
        <v>6500</v>
      </c>
      <c r="H20" s="10">
        <v>6500</v>
      </c>
      <c r="I20" s="10">
        <v>6500</v>
      </c>
      <c r="J20" s="10">
        <v>6500</v>
      </c>
      <c r="K20" s="10">
        <v>6500</v>
      </c>
      <c r="L20" s="10">
        <v>6500</v>
      </c>
      <c r="M20" s="10">
        <v>6500</v>
      </c>
      <c r="N20" s="10">
        <v>6500</v>
      </c>
      <c r="O20" s="10">
        <f t="shared" si="1"/>
        <v>78000</v>
      </c>
      <c r="P20" s="33"/>
    </row>
    <row r="21" spans="2:16" x14ac:dyDescent="0.3">
      <c r="B21" s="9" t="s">
        <v>22</v>
      </c>
      <c r="C21" s="10">
        <v>1200</v>
      </c>
      <c r="D21" s="10">
        <v>1200</v>
      </c>
      <c r="E21" s="10">
        <v>1200</v>
      </c>
      <c r="F21" s="10">
        <v>1200</v>
      </c>
      <c r="G21" s="10">
        <v>1200</v>
      </c>
      <c r="H21" s="10">
        <v>1200</v>
      </c>
      <c r="I21" s="10">
        <v>1200</v>
      </c>
      <c r="J21" s="10">
        <v>1200</v>
      </c>
      <c r="K21" s="10">
        <v>1200</v>
      </c>
      <c r="L21" s="10">
        <v>1200</v>
      </c>
      <c r="M21" s="10">
        <v>1200</v>
      </c>
      <c r="N21" s="10">
        <v>1200</v>
      </c>
      <c r="O21" s="10">
        <f t="shared" si="1"/>
        <v>14400</v>
      </c>
      <c r="P21" s="33"/>
    </row>
    <row r="22" spans="2:16" x14ac:dyDescent="0.3">
      <c r="B22" s="9" t="s">
        <v>23</v>
      </c>
      <c r="C22" s="10">
        <v>900</v>
      </c>
      <c r="D22" s="10">
        <v>900</v>
      </c>
      <c r="E22" s="10">
        <v>900</v>
      </c>
      <c r="F22" s="10">
        <v>900</v>
      </c>
      <c r="G22" s="10">
        <v>900</v>
      </c>
      <c r="H22" s="10">
        <v>900</v>
      </c>
      <c r="I22" s="10">
        <v>900</v>
      </c>
      <c r="J22" s="10">
        <v>900</v>
      </c>
      <c r="K22" s="10">
        <v>900</v>
      </c>
      <c r="L22" s="10">
        <v>900</v>
      </c>
      <c r="M22" s="10">
        <v>900</v>
      </c>
      <c r="N22" s="10">
        <v>900</v>
      </c>
      <c r="O22" s="10">
        <f t="shared" si="1"/>
        <v>10800</v>
      </c>
      <c r="P22" s="33"/>
    </row>
    <row r="23" spans="2:16" x14ac:dyDescent="0.3">
      <c r="B23" s="9" t="s">
        <v>24</v>
      </c>
      <c r="C23" s="10">
        <v>450</v>
      </c>
      <c r="D23" s="10">
        <v>450</v>
      </c>
      <c r="E23" s="10">
        <v>450</v>
      </c>
      <c r="F23" s="10">
        <v>450</v>
      </c>
      <c r="G23" s="10">
        <v>450</v>
      </c>
      <c r="H23" s="10">
        <v>450</v>
      </c>
      <c r="I23" s="10">
        <v>450</v>
      </c>
      <c r="J23" s="10">
        <v>450</v>
      </c>
      <c r="K23" s="10">
        <v>450</v>
      </c>
      <c r="L23" s="10">
        <v>450</v>
      </c>
      <c r="M23" s="10">
        <v>450</v>
      </c>
      <c r="N23" s="10">
        <v>450</v>
      </c>
      <c r="O23" s="10">
        <f t="shared" si="1"/>
        <v>5400</v>
      </c>
      <c r="P23" s="33"/>
    </row>
    <row r="24" spans="2:16" x14ac:dyDescent="0.3">
      <c r="B24" s="9" t="s">
        <v>25</v>
      </c>
      <c r="C24" s="10">
        <v>250</v>
      </c>
      <c r="D24" s="10">
        <v>250</v>
      </c>
      <c r="E24" s="10">
        <v>250</v>
      </c>
      <c r="F24" s="10">
        <v>250</v>
      </c>
      <c r="G24" s="10">
        <v>250</v>
      </c>
      <c r="H24" s="10">
        <v>250</v>
      </c>
      <c r="I24" s="10">
        <v>250</v>
      </c>
      <c r="J24" s="10">
        <v>250</v>
      </c>
      <c r="K24" s="10">
        <v>250</v>
      </c>
      <c r="L24" s="10">
        <v>250</v>
      </c>
      <c r="M24" s="10">
        <v>250</v>
      </c>
      <c r="N24" s="10">
        <v>250</v>
      </c>
      <c r="O24" s="10">
        <f t="shared" si="1"/>
        <v>3000</v>
      </c>
      <c r="P24" s="33"/>
    </row>
    <row r="25" spans="2:16" x14ac:dyDescent="0.3">
      <c r="B25" s="9" t="s">
        <v>26</v>
      </c>
      <c r="C25" s="10">
        <v>2200</v>
      </c>
      <c r="D25" s="10">
        <v>2200</v>
      </c>
      <c r="E25" s="10">
        <v>2200</v>
      </c>
      <c r="F25" s="10">
        <v>2200</v>
      </c>
      <c r="G25" s="10">
        <v>2200</v>
      </c>
      <c r="H25" s="10">
        <v>2200</v>
      </c>
      <c r="I25" s="10">
        <v>2200</v>
      </c>
      <c r="J25" s="10">
        <v>2200</v>
      </c>
      <c r="K25" s="10">
        <v>2200</v>
      </c>
      <c r="L25" s="10">
        <v>2200</v>
      </c>
      <c r="M25" s="10">
        <v>2200</v>
      </c>
      <c r="N25" s="10">
        <v>2200</v>
      </c>
      <c r="O25" s="10">
        <f t="shared" si="1"/>
        <v>26400</v>
      </c>
      <c r="P25" s="33"/>
    </row>
    <row r="26" spans="2:16" x14ac:dyDescent="0.3">
      <c r="B26" s="20" t="s">
        <v>27</v>
      </c>
      <c r="C26" s="21">
        <f>SUM(C27:C32)</f>
        <v>7330</v>
      </c>
      <c r="D26" s="21">
        <f t="shared" ref="D26:N26" si="6">SUM(D27:D32)</f>
        <v>7180</v>
      </c>
      <c r="E26" s="21">
        <f t="shared" si="6"/>
        <v>6830</v>
      </c>
      <c r="F26" s="21">
        <f t="shared" si="6"/>
        <v>6430</v>
      </c>
      <c r="G26" s="21">
        <f t="shared" si="6"/>
        <v>6130</v>
      </c>
      <c r="H26" s="21">
        <f t="shared" si="6"/>
        <v>5930</v>
      </c>
      <c r="I26" s="21">
        <f t="shared" si="6"/>
        <v>5830</v>
      </c>
      <c r="J26" s="21">
        <f t="shared" si="6"/>
        <v>5880</v>
      </c>
      <c r="K26" s="21">
        <f t="shared" si="6"/>
        <v>6080</v>
      </c>
      <c r="L26" s="21">
        <f t="shared" si="6"/>
        <v>6430</v>
      </c>
      <c r="M26" s="21">
        <f t="shared" si="6"/>
        <v>6830</v>
      </c>
      <c r="N26" s="21">
        <f t="shared" si="6"/>
        <v>7330</v>
      </c>
      <c r="O26" s="21">
        <f t="shared" si="1"/>
        <v>78210</v>
      </c>
      <c r="P26" s="33"/>
    </row>
    <row r="27" spans="2:16" x14ac:dyDescent="0.3">
      <c r="B27" s="9" t="s">
        <v>28</v>
      </c>
      <c r="C27" s="10">
        <v>400</v>
      </c>
      <c r="D27" s="10">
        <v>400</v>
      </c>
      <c r="E27" s="10">
        <v>400</v>
      </c>
      <c r="F27" s="10">
        <v>400</v>
      </c>
      <c r="G27" s="10">
        <v>400</v>
      </c>
      <c r="H27" s="10">
        <v>400</v>
      </c>
      <c r="I27" s="10">
        <v>400</v>
      </c>
      <c r="J27" s="10">
        <v>400</v>
      </c>
      <c r="K27" s="10">
        <v>400</v>
      </c>
      <c r="L27" s="10">
        <v>400</v>
      </c>
      <c r="M27" s="10">
        <v>400</v>
      </c>
      <c r="N27" s="10">
        <v>400</v>
      </c>
      <c r="O27" s="10">
        <f t="shared" si="1"/>
        <v>4800</v>
      </c>
      <c r="P27" s="33"/>
    </row>
    <row r="28" spans="2:16" x14ac:dyDescent="0.3">
      <c r="B28" s="9" t="s">
        <v>29</v>
      </c>
      <c r="C28" s="10">
        <v>220</v>
      </c>
      <c r="D28" s="10">
        <v>220</v>
      </c>
      <c r="E28" s="10">
        <v>220</v>
      </c>
      <c r="F28" s="10">
        <v>220</v>
      </c>
      <c r="G28" s="10">
        <v>220</v>
      </c>
      <c r="H28" s="10">
        <v>220</v>
      </c>
      <c r="I28" s="10">
        <v>220</v>
      </c>
      <c r="J28" s="10">
        <v>220</v>
      </c>
      <c r="K28" s="10">
        <v>220</v>
      </c>
      <c r="L28" s="10">
        <v>220</v>
      </c>
      <c r="M28" s="10">
        <v>220</v>
      </c>
      <c r="N28" s="10">
        <v>220</v>
      </c>
      <c r="O28" s="10">
        <f t="shared" si="1"/>
        <v>2640</v>
      </c>
      <c r="P28" s="33"/>
    </row>
    <row r="29" spans="2:16" x14ac:dyDescent="0.3">
      <c r="B29" s="9" t="s">
        <v>30</v>
      </c>
      <c r="C29" s="10">
        <v>3600</v>
      </c>
      <c r="D29" s="10">
        <v>3500</v>
      </c>
      <c r="E29" s="10">
        <v>3300</v>
      </c>
      <c r="F29" s="10">
        <v>3100</v>
      </c>
      <c r="G29" s="10">
        <v>3000</v>
      </c>
      <c r="H29" s="10">
        <v>2900</v>
      </c>
      <c r="I29" s="10">
        <v>2900</v>
      </c>
      <c r="J29" s="10">
        <v>2950</v>
      </c>
      <c r="K29" s="10">
        <v>3000</v>
      </c>
      <c r="L29" s="10">
        <v>3100</v>
      </c>
      <c r="M29" s="10">
        <v>3300</v>
      </c>
      <c r="N29" s="10">
        <v>3600</v>
      </c>
      <c r="O29" s="10">
        <f t="shared" si="1"/>
        <v>38250</v>
      </c>
      <c r="P29" s="33"/>
    </row>
    <row r="30" spans="2:16" x14ac:dyDescent="0.3">
      <c r="B30" s="9" t="s">
        <v>31</v>
      </c>
      <c r="C30" s="10">
        <v>2600</v>
      </c>
      <c r="D30" s="10">
        <v>2550</v>
      </c>
      <c r="E30" s="10">
        <v>2400</v>
      </c>
      <c r="F30" s="10">
        <v>2200</v>
      </c>
      <c r="G30" s="10">
        <v>2000</v>
      </c>
      <c r="H30" s="10">
        <v>1900</v>
      </c>
      <c r="I30" s="10">
        <v>1800</v>
      </c>
      <c r="J30" s="10">
        <v>1800</v>
      </c>
      <c r="K30" s="10">
        <v>1950</v>
      </c>
      <c r="L30" s="10">
        <v>2200</v>
      </c>
      <c r="M30" s="10">
        <v>2400</v>
      </c>
      <c r="N30" s="10">
        <v>2600</v>
      </c>
      <c r="O30" s="10">
        <f t="shared" si="1"/>
        <v>26400</v>
      </c>
      <c r="P30" s="33"/>
    </row>
    <row r="31" spans="2:16" x14ac:dyDescent="0.3">
      <c r="B31" s="9" t="s">
        <v>32</v>
      </c>
      <c r="C31" s="10">
        <v>350</v>
      </c>
      <c r="D31" s="10">
        <v>350</v>
      </c>
      <c r="E31" s="10">
        <v>350</v>
      </c>
      <c r="F31" s="10">
        <v>350</v>
      </c>
      <c r="G31" s="10">
        <v>350</v>
      </c>
      <c r="H31" s="10">
        <v>350</v>
      </c>
      <c r="I31" s="10">
        <v>350</v>
      </c>
      <c r="J31" s="10">
        <v>350</v>
      </c>
      <c r="K31" s="10">
        <v>350</v>
      </c>
      <c r="L31" s="10">
        <v>350</v>
      </c>
      <c r="M31" s="10">
        <v>350</v>
      </c>
      <c r="N31" s="10">
        <v>350</v>
      </c>
      <c r="O31" s="10">
        <f t="shared" si="1"/>
        <v>4200</v>
      </c>
      <c r="P31" s="33"/>
    </row>
    <row r="32" spans="2:16" x14ac:dyDescent="0.3">
      <c r="B32" s="9" t="s">
        <v>33</v>
      </c>
      <c r="C32" s="10">
        <v>160</v>
      </c>
      <c r="D32" s="10">
        <v>160</v>
      </c>
      <c r="E32" s="10">
        <v>160</v>
      </c>
      <c r="F32" s="10">
        <v>160</v>
      </c>
      <c r="G32" s="10">
        <v>160</v>
      </c>
      <c r="H32" s="10">
        <v>160</v>
      </c>
      <c r="I32" s="10">
        <v>160</v>
      </c>
      <c r="J32" s="10">
        <v>160</v>
      </c>
      <c r="K32" s="10">
        <v>160</v>
      </c>
      <c r="L32" s="10">
        <v>160</v>
      </c>
      <c r="M32" s="10">
        <v>160</v>
      </c>
      <c r="N32" s="10">
        <v>160</v>
      </c>
      <c r="O32" s="10">
        <f t="shared" si="1"/>
        <v>1920</v>
      </c>
      <c r="P32" s="33"/>
    </row>
    <row r="33" spans="2:16" x14ac:dyDescent="0.3">
      <c r="B33" s="20" t="s">
        <v>34</v>
      </c>
      <c r="C33" s="21">
        <f>SUM(C34:C43)</f>
        <v>3910</v>
      </c>
      <c r="D33" s="21">
        <f t="shared" ref="D33:O33" si="7">SUM(D34:D43)</f>
        <v>3910</v>
      </c>
      <c r="E33" s="21">
        <f t="shared" si="7"/>
        <v>3910</v>
      </c>
      <c r="F33" s="21">
        <f t="shared" si="7"/>
        <v>3910</v>
      </c>
      <c r="G33" s="21">
        <f t="shared" si="7"/>
        <v>3910</v>
      </c>
      <c r="H33" s="21">
        <f t="shared" si="7"/>
        <v>3910</v>
      </c>
      <c r="I33" s="21">
        <f t="shared" si="7"/>
        <v>3910</v>
      </c>
      <c r="J33" s="21">
        <f t="shared" si="7"/>
        <v>3910</v>
      </c>
      <c r="K33" s="21">
        <f t="shared" si="7"/>
        <v>3910</v>
      </c>
      <c r="L33" s="21">
        <f t="shared" si="7"/>
        <v>3910</v>
      </c>
      <c r="M33" s="21">
        <f t="shared" si="7"/>
        <v>3910</v>
      </c>
      <c r="N33" s="21">
        <f t="shared" si="7"/>
        <v>3910</v>
      </c>
      <c r="O33" s="21">
        <f t="shared" si="7"/>
        <v>46920</v>
      </c>
      <c r="P33" s="33"/>
    </row>
    <row r="34" spans="2:16" x14ac:dyDescent="0.3">
      <c r="B34" s="9" t="s">
        <v>35</v>
      </c>
      <c r="C34" s="10">
        <v>900</v>
      </c>
      <c r="D34" s="10">
        <v>900</v>
      </c>
      <c r="E34" s="10">
        <v>900</v>
      </c>
      <c r="F34" s="10">
        <v>900</v>
      </c>
      <c r="G34" s="10">
        <v>900</v>
      </c>
      <c r="H34" s="10">
        <v>900</v>
      </c>
      <c r="I34" s="10">
        <v>900</v>
      </c>
      <c r="J34" s="10">
        <v>900</v>
      </c>
      <c r="K34" s="10">
        <v>900</v>
      </c>
      <c r="L34" s="10">
        <v>900</v>
      </c>
      <c r="M34" s="10">
        <v>900</v>
      </c>
      <c r="N34" s="10">
        <v>900</v>
      </c>
      <c r="O34" s="10">
        <f t="shared" si="1"/>
        <v>10800</v>
      </c>
      <c r="P34" s="33"/>
    </row>
    <row r="35" spans="2:16" x14ac:dyDescent="0.3">
      <c r="B35" s="9" t="s">
        <v>36</v>
      </c>
      <c r="C35" s="10">
        <v>250</v>
      </c>
      <c r="D35" s="10">
        <v>250</v>
      </c>
      <c r="E35" s="10">
        <v>250</v>
      </c>
      <c r="F35" s="10">
        <v>250</v>
      </c>
      <c r="G35" s="10">
        <v>250</v>
      </c>
      <c r="H35" s="10">
        <v>250</v>
      </c>
      <c r="I35" s="10">
        <v>250</v>
      </c>
      <c r="J35" s="10">
        <v>250</v>
      </c>
      <c r="K35" s="10">
        <v>250</v>
      </c>
      <c r="L35" s="10">
        <v>250</v>
      </c>
      <c r="M35" s="10">
        <v>250</v>
      </c>
      <c r="N35" s="10">
        <v>250</v>
      </c>
      <c r="O35" s="10">
        <f t="shared" si="1"/>
        <v>3000</v>
      </c>
      <c r="P35" s="33"/>
    </row>
    <row r="36" spans="2:16" x14ac:dyDescent="0.3">
      <c r="B36" s="9" t="s">
        <v>37</v>
      </c>
      <c r="C36" s="10">
        <v>350</v>
      </c>
      <c r="D36" s="10">
        <v>350</v>
      </c>
      <c r="E36" s="10">
        <v>350</v>
      </c>
      <c r="F36" s="10">
        <v>350</v>
      </c>
      <c r="G36" s="10">
        <v>350</v>
      </c>
      <c r="H36" s="10">
        <v>350</v>
      </c>
      <c r="I36" s="10">
        <v>350</v>
      </c>
      <c r="J36" s="10">
        <v>350</v>
      </c>
      <c r="K36" s="10">
        <v>350</v>
      </c>
      <c r="L36" s="10">
        <v>350</v>
      </c>
      <c r="M36" s="10">
        <v>350</v>
      </c>
      <c r="N36" s="10">
        <v>350</v>
      </c>
      <c r="O36" s="10">
        <f t="shared" si="1"/>
        <v>4200</v>
      </c>
      <c r="P36" s="33"/>
    </row>
    <row r="37" spans="2:16" x14ac:dyDescent="0.3">
      <c r="B37" s="9" t="s">
        <v>38</v>
      </c>
      <c r="C37" s="10">
        <v>60</v>
      </c>
      <c r="D37" s="10">
        <v>60</v>
      </c>
      <c r="E37" s="10">
        <v>60</v>
      </c>
      <c r="F37" s="10">
        <v>60</v>
      </c>
      <c r="G37" s="10">
        <v>60</v>
      </c>
      <c r="H37" s="10">
        <v>60</v>
      </c>
      <c r="I37" s="10">
        <v>60</v>
      </c>
      <c r="J37" s="10">
        <v>60</v>
      </c>
      <c r="K37" s="10">
        <v>60</v>
      </c>
      <c r="L37" s="10">
        <v>60</v>
      </c>
      <c r="M37" s="10">
        <v>60</v>
      </c>
      <c r="N37" s="10">
        <v>60</v>
      </c>
      <c r="O37" s="10">
        <f t="shared" si="1"/>
        <v>720</v>
      </c>
      <c r="P37" s="33"/>
    </row>
    <row r="38" spans="2:16" x14ac:dyDescent="0.3">
      <c r="B38" s="9" t="s">
        <v>39</v>
      </c>
      <c r="C38" s="10">
        <v>40</v>
      </c>
      <c r="D38" s="10">
        <v>40</v>
      </c>
      <c r="E38" s="10">
        <v>40</v>
      </c>
      <c r="F38" s="10">
        <v>40</v>
      </c>
      <c r="G38" s="10">
        <v>40</v>
      </c>
      <c r="H38" s="10">
        <v>40</v>
      </c>
      <c r="I38" s="10">
        <v>40</v>
      </c>
      <c r="J38" s="10">
        <v>40</v>
      </c>
      <c r="K38" s="10">
        <v>40</v>
      </c>
      <c r="L38" s="10">
        <v>40</v>
      </c>
      <c r="M38" s="10">
        <v>40</v>
      </c>
      <c r="N38" s="10">
        <v>40</v>
      </c>
      <c r="O38" s="10">
        <f t="shared" si="1"/>
        <v>480</v>
      </c>
      <c r="P38" s="33"/>
    </row>
    <row r="39" spans="2:16" x14ac:dyDescent="0.3">
      <c r="B39" s="9" t="s">
        <v>40</v>
      </c>
      <c r="C39" s="10">
        <v>1200</v>
      </c>
      <c r="D39" s="10">
        <v>1200</v>
      </c>
      <c r="E39" s="10">
        <v>1200</v>
      </c>
      <c r="F39" s="10">
        <v>1200</v>
      </c>
      <c r="G39" s="10">
        <v>1200</v>
      </c>
      <c r="H39" s="10">
        <v>1200</v>
      </c>
      <c r="I39" s="10">
        <v>1200</v>
      </c>
      <c r="J39" s="10">
        <v>1200</v>
      </c>
      <c r="K39" s="10">
        <v>1200</v>
      </c>
      <c r="L39" s="10">
        <v>1200</v>
      </c>
      <c r="M39" s="10">
        <v>1200</v>
      </c>
      <c r="N39" s="10">
        <v>1200</v>
      </c>
      <c r="O39" s="10">
        <f t="shared" si="1"/>
        <v>14400</v>
      </c>
      <c r="P39" s="33"/>
    </row>
    <row r="40" spans="2:16" x14ac:dyDescent="0.3">
      <c r="B40" s="9" t="s">
        <v>41</v>
      </c>
      <c r="C40" s="10">
        <v>400</v>
      </c>
      <c r="D40" s="10">
        <v>400</v>
      </c>
      <c r="E40" s="10">
        <v>400</v>
      </c>
      <c r="F40" s="10">
        <v>400</v>
      </c>
      <c r="G40" s="10">
        <v>400</v>
      </c>
      <c r="H40" s="10">
        <v>400</v>
      </c>
      <c r="I40" s="10">
        <v>400</v>
      </c>
      <c r="J40" s="10">
        <v>400</v>
      </c>
      <c r="K40" s="10">
        <v>400</v>
      </c>
      <c r="L40" s="10">
        <v>400</v>
      </c>
      <c r="M40" s="10">
        <v>400</v>
      </c>
      <c r="N40" s="10">
        <v>400</v>
      </c>
      <c r="O40" s="10">
        <f t="shared" si="1"/>
        <v>4800</v>
      </c>
      <c r="P40" s="33"/>
    </row>
    <row r="41" spans="2:16" x14ac:dyDescent="0.3">
      <c r="B41" s="9" t="s">
        <v>42</v>
      </c>
      <c r="C41" s="10">
        <v>30</v>
      </c>
      <c r="D41" s="10">
        <v>30</v>
      </c>
      <c r="E41" s="10">
        <v>30</v>
      </c>
      <c r="F41" s="10">
        <v>30</v>
      </c>
      <c r="G41" s="10">
        <v>30</v>
      </c>
      <c r="H41" s="10">
        <v>30</v>
      </c>
      <c r="I41" s="10">
        <v>30</v>
      </c>
      <c r="J41" s="10">
        <v>30</v>
      </c>
      <c r="K41" s="10">
        <v>30</v>
      </c>
      <c r="L41" s="10">
        <v>30</v>
      </c>
      <c r="M41" s="10">
        <v>30</v>
      </c>
      <c r="N41" s="10">
        <v>30</v>
      </c>
      <c r="O41" s="10">
        <f t="shared" si="1"/>
        <v>360</v>
      </c>
      <c r="P41" s="33"/>
    </row>
    <row r="42" spans="2:16" x14ac:dyDescent="0.3">
      <c r="B42" s="9" t="s">
        <v>43</v>
      </c>
      <c r="C42" s="10">
        <v>650</v>
      </c>
      <c r="D42" s="10">
        <v>650</v>
      </c>
      <c r="E42" s="10">
        <v>650</v>
      </c>
      <c r="F42" s="10">
        <v>650</v>
      </c>
      <c r="G42" s="10">
        <v>650</v>
      </c>
      <c r="H42" s="10">
        <v>650</v>
      </c>
      <c r="I42" s="10">
        <v>650</v>
      </c>
      <c r="J42" s="10">
        <v>650</v>
      </c>
      <c r="K42" s="10">
        <v>650</v>
      </c>
      <c r="L42" s="10">
        <v>650</v>
      </c>
      <c r="M42" s="10">
        <v>650</v>
      </c>
      <c r="N42" s="10">
        <v>650</v>
      </c>
      <c r="O42" s="10">
        <f t="shared" si="1"/>
        <v>7800</v>
      </c>
      <c r="P42" s="33"/>
    </row>
    <row r="43" spans="2:16" x14ac:dyDescent="0.3">
      <c r="B43" s="9" t="s">
        <v>44</v>
      </c>
      <c r="C43" s="10">
        <v>30</v>
      </c>
      <c r="D43" s="10">
        <v>30</v>
      </c>
      <c r="E43" s="10">
        <v>30</v>
      </c>
      <c r="F43" s="10">
        <v>30</v>
      </c>
      <c r="G43" s="10">
        <v>30</v>
      </c>
      <c r="H43" s="10">
        <v>30</v>
      </c>
      <c r="I43" s="10">
        <v>30</v>
      </c>
      <c r="J43" s="10">
        <v>30</v>
      </c>
      <c r="K43" s="10">
        <v>30</v>
      </c>
      <c r="L43" s="10">
        <v>30</v>
      </c>
      <c r="M43" s="10">
        <v>30</v>
      </c>
      <c r="N43" s="10">
        <v>30</v>
      </c>
      <c r="O43" s="10">
        <f t="shared" si="1"/>
        <v>360</v>
      </c>
      <c r="P43" s="33"/>
    </row>
    <row r="44" spans="2:16" x14ac:dyDescent="0.3">
      <c r="B44" s="163" t="s">
        <v>45</v>
      </c>
      <c r="C44" s="164">
        <v>2500</v>
      </c>
      <c r="D44" s="164">
        <v>2500</v>
      </c>
      <c r="E44" s="164">
        <v>2500</v>
      </c>
      <c r="F44" s="164">
        <v>2500</v>
      </c>
      <c r="G44" s="164">
        <v>2500</v>
      </c>
      <c r="H44" s="164">
        <v>2500</v>
      </c>
      <c r="I44" s="164">
        <v>2500</v>
      </c>
      <c r="J44" s="164">
        <v>2500</v>
      </c>
      <c r="K44" s="164">
        <v>2500</v>
      </c>
      <c r="L44" s="164">
        <v>2500</v>
      </c>
      <c r="M44" s="164">
        <v>2500</v>
      </c>
      <c r="N44" s="164">
        <v>2500</v>
      </c>
      <c r="O44" s="164">
        <f t="shared" si="1"/>
        <v>30000</v>
      </c>
      <c r="P44" s="33"/>
    </row>
    <row r="45" spans="2:16" x14ac:dyDescent="0.3">
      <c r="B45" s="12" t="s">
        <v>46</v>
      </c>
      <c r="C45" s="13">
        <f>C14-C15-C19-C26-C33-C44</f>
        <v>-1400</v>
      </c>
      <c r="D45" s="13">
        <f t="shared" ref="D45:N45" si="8">D14-D15-D19-D26-D33-D44</f>
        <v>-4400</v>
      </c>
      <c r="E45" s="13">
        <f t="shared" si="8"/>
        <v>3600</v>
      </c>
      <c r="F45" s="13">
        <f t="shared" si="8"/>
        <v>7600</v>
      </c>
      <c r="G45" s="13">
        <f t="shared" si="8"/>
        <v>11600</v>
      </c>
      <c r="H45" s="13">
        <f t="shared" si="8"/>
        <v>15600</v>
      </c>
      <c r="I45" s="13">
        <f t="shared" si="8"/>
        <v>18600</v>
      </c>
      <c r="J45" s="13">
        <f t="shared" si="8"/>
        <v>22600</v>
      </c>
      <c r="K45" s="13">
        <f t="shared" si="8"/>
        <v>11600</v>
      </c>
      <c r="L45" s="13">
        <f t="shared" si="8"/>
        <v>7600</v>
      </c>
      <c r="M45" s="13">
        <f t="shared" si="8"/>
        <v>3600</v>
      </c>
      <c r="N45" s="13">
        <f t="shared" si="8"/>
        <v>19600</v>
      </c>
      <c r="O45" s="13">
        <f>SUM(C45:N45)</f>
        <v>116200</v>
      </c>
      <c r="P45" s="33"/>
    </row>
    <row r="46" spans="2:16" x14ac:dyDescent="0.3">
      <c r="B46" s="26" t="s">
        <v>47</v>
      </c>
      <c r="C46" s="27">
        <v>1600</v>
      </c>
      <c r="D46" s="27">
        <v>1600</v>
      </c>
      <c r="E46" s="27">
        <v>1600</v>
      </c>
      <c r="F46" s="27">
        <v>1600</v>
      </c>
      <c r="G46" s="27">
        <v>1600</v>
      </c>
      <c r="H46" s="27">
        <v>1600</v>
      </c>
      <c r="I46" s="27">
        <v>1600</v>
      </c>
      <c r="J46" s="27">
        <v>1600</v>
      </c>
      <c r="K46" s="27">
        <v>1600</v>
      </c>
      <c r="L46" s="27">
        <v>1600</v>
      </c>
      <c r="M46" s="27">
        <v>1600</v>
      </c>
      <c r="N46" s="27">
        <v>1600</v>
      </c>
      <c r="O46" s="27">
        <f>SUM(C46:N46)</f>
        <v>19200</v>
      </c>
      <c r="P46" s="33"/>
    </row>
    <row r="47" spans="2:16" x14ac:dyDescent="0.3">
      <c r="B47" s="12" t="s">
        <v>48</v>
      </c>
      <c r="C47" s="13">
        <f>C45-C46</f>
        <v>-3000</v>
      </c>
      <c r="D47" s="13">
        <f t="shared" ref="D47:N47" si="9">D45-D46</f>
        <v>-6000</v>
      </c>
      <c r="E47" s="13">
        <f t="shared" si="9"/>
        <v>2000</v>
      </c>
      <c r="F47" s="13">
        <f t="shared" si="9"/>
        <v>6000</v>
      </c>
      <c r="G47" s="13">
        <f t="shared" si="9"/>
        <v>10000</v>
      </c>
      <c r="H47" s="13">
        <f t="shared" si="9"/>
        <v>14000</v>
      </c>
      <c r="I47" s="13">
        <f t="shared" si="9"/>
        <v>17000</v>
      </c>
      <c r="J47" s="13">
        <f t="shared" si="9"/>
        <v>21000</v>
      </c>
      <c r="K47" s="13">
        <f t="shared" si="9"/>
        <v>10000</v>
      </c>
      <c r="L47" s="13">
        <f t="shared" si="9"/>
        <v>6000</v>
      </c>
      <c r="M47" s="13">
        <f t="shared" si="9"/>
        <v>2000</v>
      </c>
      <c r="N47" s="13">
        <f t="shared" si="9"/>
        <v>18000</v>
      </c>
      <c r="O47" s="13">
        <f t="shared" si="1"/>
        <v>97000</v>
      </c>
      <c r="P47" s="33"/>
    </row>
    <row r="49" spans="3:3" x14ac:dyDescent="0.3">
      <c r="C49" s="24"/>
    </row>
  </sheetData>
  <mergeCells count="1">
    <mergeCell ref="B1:O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9"/>
  <sheetViews>
    <sheetView showGridLines="0" zoomScale="136" zoomScaleNormal="136" workbookViewId="0">
      <pane xSplit="1" ySplit="2" topLeftCell="C36" activePane="bottomRight" state="frozen"/>
      <selection pane="topRight"/>
      <selection pane="bottomLeft"/>
      <selection pane="bottomRight" activeCell="A17" sqref="A17"/>
    </sheetView>
  </sheetViews>
  <sheetFormatPr baseColWidth="10" defaultColWidth="9.109375" defaultRowHeight="14.4" x14ac:dyDescent="0.3"/>
  <cols>
    <col min="1" max="1" width="48" style="8" customWidth="1"/>
    <col min="2" max="13" width="14" style="8" customWidth="1"/>
    <col min="14" max="14" width="13.33203125" style="8" hidden="1" customWidth="1"/>
    <col min="15" max="17" width="0" style="8" hidden="1" customWidth="1"/>
    <col min="18" max="16384" width="9.109375" style="8"/>
  </cols>
  <sheetData>
    <row r="1" spans="1:19" customFormat="1" ht="21.9" customHeight="1" x14ac:dyDescent="0.3">
      <c r="B1" s="225" t="s">
        <v>81</v>
      </c>
      <c r="C1" s="225"/>
      <c r="D1" s="225"/>
      <c r="E1" s="225"/>
      <c r="F1" s="225"/>
      <c r="G1" s="225"/>
      <c r="H1" s="225"/>
      <c r="I1" s="225"/>
      <c r="J1" s="225"/>
      <c r="K1" s="225"/>
      <c r="L1" s="225"/>
      <c r="M1" s="225"/>
    </row>
    <row r="2" spans="1:19" customFormat="1" x14ac:dyDescent="0.3">
      <c r="A2" s="1"/>
      <c r="B2" s="1" t="s">
        <v>0</v>
      </c>
      <c r="C2" s="1" t="s">
        <v>1</v>
      </c>
      <c r="D2" s="1" t="s">
        <v>2</v>
      </c>
      <c r="E2" s="1" t="s">
        <v>3</v>
      </c>
      <c r="F2" s="1" t="s">
        <v>4</v>
      </c>
      <c r="G2" s="1" t="s">
        <v>5</v>
      </c>
      <c r="H2" s="1" t="s">
        <v>6</v>
      </c>
      <c r="I2" s="1" t="s">
        <v>7</v>
      </c>
      <c r="J2" s="1" t="s">
        <v>8</v>
      </c>
      <c r="K2" s="1" t="s">
        <v>9</v>
      </c>
      <c r="L2" s="1" t="s">
        <v>10</v>
      </c>
      <c r="M2" s="1" t="s">
        <v>11</v>
      </c>
    </row>
    <row r="3" spans="1:19" customFormat="1" x14ac:dyDescent="0.3">
      <c r="A3" s="4" t="s">
        <v>49</v>
      </c>
      <c r="B3" s="5">
        <f>SUM(B4:B7)</f>
        <v>104060</v>
      </c>
      <c r="C3" s="5">
        <f t="shared" ref="C3:M3" si="0">SUM(C4:C7)</f>
        <v>98010</v>
      </c>
      <c r="D3" s="5">
        <f t="shared" si="0"/>
        <v>110110</v>
      </c>
      <c r="E3" s="5">
        <f t="shared" si="0"/>
        <v>116160</v>
      </c>
      <c r="F3" s="5">
        <f t="shared" si="0"/>
        <v>122210</v>
      </c>
      <c r="G3" s="5">
        <f t="shared" si="0"/>
        <v>128260</v>
      </c>
      <c r="H3" s="5">
        <f t="shared" si="0"/>
        <v>134310</v>
      </c>
      <c r="I3" s="5">
        <f t="shared" si="0"/>
        <v>140360</v>
      </c>
      <c r="J3" s="5">
        <f t="shared" si="0"/>
        <v>122210</v>
      </c>
      <c r="K3" s="5">
        <f t="shared" si="0"/>
        <v>116160</v>
      </c>
      <c r="L3" s="5">
        <f t="shared" si="0"/>
        <v>110110</v>
      </c>
      <c r="M3" s="5">
        <f t="shared" si="0"/>
        <v>146410</v>
      </c>
    </row>
    <row r="4" spans="1:19" customFormat="1" x14ac:dyDescent="0.3">
      <c r="A4" s="9" t="s">
        <v>80</v>
      </c>
      <c r="B4" s="6">
        <f>Resultados_Obtenidos!C4*1.21</f>
        <v>61710</v>
      </c>
      <c r="C4" s="6">
        <f>Resultados_Obtenidos!D4*1.21</f>
        <v>58080</v>
      </c>
      <c r="D4" s="6">
        <f>Resultados_Obtenidos!E4*1.21</f>
        <v>65340</v>
      </c>
      <c r="E4" s="6">
        <f>Resultados_Obtenidos!F4*1.21</f>
        <v>68970</v>
      </c>
      <c r="F4" s="6">
        <f>Resultados_Obtenidos!G4*1.21</f>
        <v>72600</v>
      </c>
      <c r="G4" s="6">
        <f>Resultados_Obtenidos!H4*1.21</f>
        <v>76230</v>
      </c>
      <c r="H4" s="6">
        <f>Resultados_Obtenidos!I4*1.21</f>
        <v>79860</v>
      </c>
      <c r="I4" s="6">
        <f>Resultados_Obtenidos!J4*1.21</f>
        <v>83490</v>
      </c>
      <c r="J4" s="6">
        <f>Resultados_Obtenidos!K4*1.21</f>
        <v>72600</v>
      </c>
      <c r="K4" s="6">
        <f>Resultados_Obtenidos!L4*1.21</f>
        <v>68970</v>
      </c>
      <c r="L4" s="6">
        <f>Resultados_Obtenidos!M4*1.21</f>
        <v>65340</v>
      </c>
      <c r="M4" s="6">
        <f>Resultados_Obtenidos!N4*1.21</f>
        <v>87120</v>
      </c>
    </row>
    <row r="5" spans="1:19" customFormat="1" x14ac:dyDescent="0.3">
      <c r="A5" s="9" t="s">
        <v>73</v>
      </c>
      <c r="B5" s="6">
        <f>Resultados_Obtenidos!C5*1.21</f>
        <v>968</v>
      </c>
      <c r="C5" s="6">
        <f>Resultados_Obtenidos!D5*1.21</f>
        <v>968</v>
      </c>
      <c r="D5" s="6">
        <f>Resultados_Obtenidos!E5*1.21</f>
        <v>968</v>
      </c>
      <c r="E5" s="6">
        <f>Resultados_Obtenidos!F5*1.21</f>
        <v>968</v>
      </c>
      <c r="F5" s="6">
        <f>Resultados_Obtenidos!G5*1.21</f>
        <v>968</v>
      </c>
      <c r="G5" s="6">
        <f>Resultados_Obtenidos!H5*1.21</f>
        <v>968</v>
      </c>
      <c r="H5" s="6">
        <f>Resultados_Obtenidos!I5*1.21</f>
        <v>968</v>
      </c>
      <c r="I5" s="6">
        <f>Resultados_Obtenidos!J5*1.21</f>
        <v>968</v>
      </c>
      <c r="J5" s="6">
        <f>Resultados_Obtenidos!K5*1.21</f>
        <v>968</v>
      </c>
      <c r="K5" s="6">
        <f>Resultados_Obtenidos!L5*1.21</f>
        <v>968</v>
      </c>
      <c r="L5" s="6">
        <f>Resultados_Obtenidos!M5*1.21</f>
        <v>968</v>
      </c>
      <c r="M5" s="6">
        <f>Resultados_Obtenidos!N5*1.21</f>
        <v>968</v>
      </c>
    </row>
    <row r="6" spans="1:19" customFormat="1" x14ac:dyDescent="0.3">
      <c r="A6" s="9" t="s">
        <v>74</v>
      </c>
      <c r="B6" s="6">
        <f>Resultados_Obtenidos!C6*1.21</f>
        <v>41140</v>
      </c>
      <c r="C6" s="6">
        <f>Resultados_Obtenidos!D6*1.21</f>
        <v>38720</v>
      </c>
      <c r="D6" s="6">
        <f>Resultados_Obtenidos!E6*1.21</f>
        <v>43560</v>
      </c>
      <c r="E6" s="6">
        <f>Resultados_Obtenidos!F6*1.21</f>
        <v>45980</v>
      </c>
      <c r="F6" s="6">
        <f>Resultados_Obtenidos!G6*1.21</f>
        <v>48400</v>
      </c>
      <c r="G6" s="6">
        <f>Resultados_Obtenidos!H6*1.21</f>
        <v>50820</v>
      </c>
      <c r="H6" s="6">
        <f>Resultados_Obtenidos!I6*1.21</f>
        <v>53240</v>
      </c>
      <c r="I6" s="6">
        <f>Resultados_Obtenidos!J6*1.21</f>
        <v>55660</v>
      </c>
      <c r="J6" s="6">
        <f>Resultados_Obtenidos!K6*1.21</f>
        <v>48400</v>
      </c>
      <c r="K6" s="6">
        <f>Resultados_Obtenidos!L6*1.21</f>
        <v>45980</v>
      </c>
      <c r="L6" s="6">
        <f>Resultados_Obtenidos!M6*1.21</f>
        <v>43560</v>
      </c>
      <c r="M6" s="6">
        <f>Resultados_Obtenidos!N6*1.21</f>
        <v>58080</v>
      </c>
      <c r="S6" t="s">
        <v>140</v>
      </c>
    </row>
    <row r="7" spans="1:19" customFormat="1" x14ac:dyDescent="0.3">
      <c r="A7" s="9" t="s">
        <v>75</v>
      </c>
      <c r="B7" s="6">
        <f>Resultados_Obtenidos!C7*1.21</f>
        <v>242</v>
      </c>
      <c r="C7" s="6">
        <f>Resultados_Obtenidos!D7*1.21</f>
        <v>242</v>
      </c>
      <c r="D7" s="6">
        <f>Resultados_Obtenidos!E7*1.21</f>
        <v>242</v>
      </c>
      <c r="E7" s="6">
        <f>Resultados_Obtenidos!F7*1.21</f>
        <v>242</v>
      </c>
      <c r="F7" s="6">
        <f>Resultados_Obtenidos!G7*1.21</f>
        <v>242</v>
      </c>
      <c r="G7" s="6">
        <f>Resultados_Obtenidos!H7*1.21</f>
        <v>242</v>
      </c>
      <c r="H7" s="6">
        <f>Resultados_Obtenidos!I7*1.21</f>
        <v>242</v>
      </c>
      <c r="I7" s="6">
        <f>Resultados_Obtenidos!J7*1.21</f>
        <v>242</v>
      </c>
      <c r="J7" s="6">
        <f>Resultados_Obtenidos!K7*1.21</f>
        <v>242</v>
      </c>
      <c r="K7" s="6">
        <f>Resultados_Obtenidos!L7*1.21</f>
        <v>242</v>
      </c>
      <c r="L7" s="6">
        <f>Resultados_Obtenidos!M7*1.21</f>
        <v>242</v>
      </c>
      <c r="M7" s="6">
        <f>Resultados_Obtenidos!N7*1.21</f>
        <v>242</v>
      </c>
      <c r="S7" t="s">
        <v>141</v>
      </c>
    </row>
    <row r="8" spans="1:19" customFormat="1" x14ac:dyDescent="0.3">
      <c r="A8" s="4" t="s">
        <v>50</v>
      </c>
      <c r="B8" s="5">
        <f>B9+B10+B11+B30</f>
        <v>93153</v>
      </c>
      <c r="C8" s="5">
        <f>C9+C10+C11+C30</f>
        <v>90733</v>
      </c>
      <c r="D8" s="5">
        <f t="shared" ref="D8:M8" si="1">D9+D10+D11+D30</f>
        <v>93153</v>
      </c>
      <c r="E8" s="5">
        <f t="shared" si="1"/>
        <v>94363</v>
      </c>
      <c r="F8" s="5">
        <f t="shared" si="1"/>
        <v>95573</v>
      </c>
      <c r="G8" s="5">
        <f t="shared" si="1"/>
        <v>96783</v>
      </c>
      <c r="H8" s="5">
        <f t="shared" si="1"/>
        <v>99203</v>
      </c>
      <c r="I8" s="5">
        <f t="shared" si="1"/>
        <v>100413</v>
      </c>
      <c r="J8" s="5">
        <f t="shared" si="1"/>
        <v>95573</v>
      </c>
      <c r="K8" s="5">
        <f t="shared" si="1"/>
        <v>94363</v>
      </c>
      <c r="L8" s="5">
        <f t="shared" si="1"/>
        <v>93153</v>
      </c>
      <c r="M8" s="5">
        <f t="shared" si="1"/>
        <v>108959</v>
      </c>
      <c r="S8" t="s">
        <v>142</v>
      </c>
    </row>
    <row r="9" spans="1:19" customFormat="1" x14ac:dyDescent="0.3">
      <c r="A9" s="2" t="s">
        <v>51</v>
      </c>
      <c r="B9" s="148">
        <f>Resultados_Obtenidos!C8*1.21</f>
        <v>29838.6</v>
      </c>
      <c r="C9" s="7">
        <f>Resultados_Obtenidos!D8*1.21</f>
        <v>27600.1</v>
      </c>
      <c r="D9" s="7">
        <f>Resultados_Obtenidos!E8*1.21</f>
        <v>30443.599999999999</v>
      </c>
      <c r="E9" s="7">
        <f>Resultados_Obtenidos!F8*1.21</f>
        <v>32137.599999999999</v>
      </c>
      <c r="F9" s="7">
        <f>Resultados_Obtenidos!G8*1.21</f>
        <v>33710.6</v>
      </c>
      <c r="G9" s="7">
        <f>Resultados_Obtenidos!H8*1.21</f>
        <v>35162.6</v>
      </c>
      <c r="H9" s="7">
        <f>Resultados_Obtenidos!I8*1.21</f>
        <v>37703.599999999999</v>
      </c>
      <c r="I9" s="7">
        <f>Resultados_Obtenidos!J8*1.21</f>
        <v>38853.1</v>
      </c>
      <c r="J9" s="7">
        <f>Resultados_Obtenidos!K8*1.21</f>
        <v>33771.1</v>
      </c>
      <c r="K9" s="7">
        <f>Resultados_Obtenidos!L8*1.21</f>
        <v>32137.599999999999</v>
      </c>
      <c r="L9" s="7">
        <f>Resultados_Obtenidos!M8*1.21</f>
        <v>30443.599999999999</v>
      </c>
      <c r="M9" s="7">
        <f>Resultados_Obtenidos!N8*1.21</f>
        <v>40244.6</v>
      </c>
    </row>
    <row r="10" spans="1:19" customFormat="1" x14ac:dyDescent="0.3">
      <c r="A10" s="2" t="s">
        <v>52</v>
      </c>
      <c r="B10" s="148">
        <f>Resultados_Obtenidos!C15</f>
        <v>37500</v>
      </c>
      <c r="C10" s="7">
        <f>Resultados_Obtenidos!D15</f>
        <v>37500</v>
      </c>
      <c r="D10" s="7">
        <f>Resultados_Obtenidos!E15</f>
        <v>37500</v>
      </c>
      <c r="E10" s="7">
        <f>Resultados_Obtenidos!F15</f>
        <v>37500</v>
      </c>
      <c r="F10" s="7">
        <f>Resultados_Obtenidos!G15</f>
        <v>37500</v>
      </c>
      <c r="G10" s="7">
        <f>Resultados_Obtenidos!H15</f>
        <v>37500</v>
      </c>
      <c r="H10" s="7">
        <f>Resultados_Obtenidos!I15</f>
        <v>37500</v>
      </c>
      <c r="I10" s="7">
        <f>Resultados_Obtenidos!J15</f>
        <v>37500</v>
      </c>
      <c r="J10" s="7">
        <f>Resultados_Obtenidos!K15</f>
        <v>37500</v>
      </c>
      <c r="K10" s="7">
        <f>Resultados_Obtenidos!L15</f>
        <v>37500</v>
      </c>
      <c r="L10" s="7">
        <f>Resultados_Obtenidos!M15</f>
        <v>37500</v>
      </c>
      <c r="M10" s="7">
        <f>Resultados_Obtenidos!N15</f>
        <v>42900</v>
      </c>
      <c r="N10" s="147">
        <f>C11+C9</f>
        <v>45133</v>
      </c>
    </row>
    <row r="11" spans="1:19" customFormat="1" x14ac:dyDescent="0.3">
      <c r="A11" s="28" t="s">
        <v>82</v>
      </c>
      <c r="B11" s="7">
        <f>SUM(B12:B29)</f>
        <v>17714.400000000001</v>
      </c>
      <c r="C11" s="7">
        <f t="shared" ref="C11:M11" si="2">SUM(C12:C29)</f>
        <v>17532.900000000001</v>
      </c>
      <c r="D11" s="7">
        <f t="shared" si="2"/>
        <v>17109.399999999998</v>
      </c>
      <c r="E11" s="7">
        <f t="shared" si="2"/>
        <v>16625.399999999998</v>
      </c>
      <c r="F11" s="7">
        <f t="shared" si="2"/>
        <v>16262.4</v>
      </c>
      <c r="G11" s="7">
        <f t="shared" si="2"/>
        <v>16020.4</v>
      </c>
      <c r="H11" s="7">
        <f t="shared" si="2"/>
        <v>15899.4</v>
      </c>
      <c r="I11" s="7">
        <f t="shared" si="2"/>
        <v>15959.9</v>
      </c>
      <c r="J11" s="7">
        <f t="shared" si="2"/>
        <v>16201.9</v>
      </c>
      <c r="K11" s="7">
        <f t="shared" si="2"/>
        <v>16625.399999999998</v>
      </c>
      <c r="L11" s="7">
        <f t="shared" si="2"/>
        <v>17109.399999999998</v>
      </c>
      <c r="M11" s="7">
        <f t="shared" si="2"/>
        <v>17714.400000000001</v>
      </c>
    </row>
    <row r="12" spans="1:19" customFormat="1" x14ac:dyDescent="0.3">
      <c r="A12" t="str">
        <f>Resultados_Obtenidos!B21</f>
        <v>Reparaciones y conservación</v>
      </c>
      <c r="B12" s="6">
        <f>Resultados_Obtenidos!C21*1.21</f>
        <v>1452</v>
      </c>
      <c r="C12" s="6">
        <f>Resultados_Obtenidos!D21*1.21</f>
        <v>1452</v>
      </c>
      <c r="D12" s="6">
        <f>Resultados_Obtenidos!E21*1.21</f>
        <v>1452</v>
      </c>
      <c r="E12" s="6">
        <f>Resultados_Obtenidos!F21*1.21</f>
        <v>1452</v>
      </c>
      <c r="F12" s="6">
        <f>Resultados_Obtenidos!G21*1.21</f>
        <v>1452</v>
      </c>
      <c r="G12" s="6">
        <f>Resultados_Obtenidos!H21*1.21</f>
        <v>1452</v>
      </c>
      <c r="H12" s="6">
        <f>Resultados_Obtenidos!I21*1.21</f>
        <v>1452</v>
      </c>
      <c r="I12" s="6">
        <f>Resultados_Obtenidos!J21*1.21</f>
        <v>1452</v>
      </c>
      <c r="J12" s="6">
        <f>Resultados_Obtenidos!K21*1.21</f>
        <v>1452</v>
      </c>
      <c r="K12" s="6">
        <f>Resultados_Obtenidos!L21*1.21</f>
        <v>1452</v>
      </c>
      <c r="L12" s="6">
        <f>Resultados_Obtenidos!M21*1.21</f>
        <v>1452</v>
      </c>
      <c r="M12" s="6">
        <f>Resultados_Obtenidos!N21*1.21</f>
        <v>1452</v>
      </c>
    </row>
    <row r="13" spans="1:19" customFormat="1" x14ac:dyDescent="0.3">
      <c r="A13" s="3" t="str">
        <f>Resultados_Obtenidos!B22</f>
        <v>Servicios de profesionales independientes</v>
      </c>
      <c r="B13" s="6">
        <f>Resultados_Obtenidos!C22*1.21</f>
        <v>1089</v>
      </c>
      <c r="C13" s="6">
        <f>Resultados_Obtenidos!D22*1.21</f>
        <v>1089</v>
      </c>
      <c r="D13" s="6">
        <f>Resultados_Obtenidos!E22*1.21</f>
        <v>1089</v>
      </c>
      <c r="E13" s="6">
        <f>Resultados_Obtenidos!F22*1.21</f>
        <v>1089</v>
      </c>
      <c r="F13" s="6">
        <f>Resultados_Obtenidos!G22*1.21</f>
        <v>1089</v>
      </c>
      <c r="G13" s="6">
        <f>Resultados_Obtenidos!H22*1.21</f>
        <v>1089</v>
      </c>
      <c r="H13" s="6">
        <f>Resultados_Obtenidos!I22*1.21</f>
        <v>1089</v>
      </c>
      <c r="I13" s="6">
        <f>Resultados_Obtenidos!J22*1.21</f>
        <v>1089</v>
      </c>
      <c r="J13" s="6">
        <f>Resultados_Obtenidos!K22*1.21</f>
        <v>1089</v>
      </c>
      <c r="K13" s="6">
        <f>Resultados_Obtenidos!L22*1.21</f>
        <v>1089</v>
      </c>
      <c r="L13" s="6">
        <f>Resultados_Obtenidos!M22*1.21</f>
        <v>1089</v>
      </c>
      <c r="M13" s="6">
        <f>Resultados_Obtenidos!N22*1.21</f>
        <v>1089</v>
      </c>
    </row>
    <row r="14" spans="1:19" customFormat="1" x14ac:dyDescent="0.3">
      <c r="A14" s="3" t="str">
        <f>Resultados_Obtenidos!B25</f>
        <v>Otros servicios</v>
      </c>
      <c r="B14" s="6">
        <f>Resultados_Obtenidos!C25*1.21</f>
        <v>2662</v>
      </c>
      <c r="C14" s="6">
        <f>Resultados_Obtenidos!D25*1.21</f>
        <v>2662</v>
      </c>
      <c r="D14" s="6">
        <f>Resultados_Obtenidos!E25*1.21</f>
        <v>2662</v>
      </c>
      <c r="E14" s="6">
        <f>Resultados_Obtenidos!F25*1.21</f>
        <v>2662</v>
      </c>
      <c r="F14" s="6">
        <f>Resultados_Obtenidos!G25*1.21</f>
        <v>2662</v>
      </c>
      <c r="G14" s="6">
        <f>Resultados_Obtenidos!H25*1.21</f>
        <v>2662</v>
      </c>
      <c r="H14" s="6">
        <f>Resultados_Obtenidos!I25*1.21</f>
        <v>2662</v>
      </c>
      <c r="I14" s="6">
        <f>Resultados_Obtenidos!J25*1.21</f>
        <v>2662</v>
      </c>
      <c r="J14" s="6">
        <f>Resultados_Obtenidos!K25*1.21</f>
        <v>2662</v>
      </c>
      <c r="K14" s="6">
        <f>Resultados_Obtenidos!L25*1.21</f>
        <v>2662</v>
      </c>
      <c r="L14" s="6">
        <f>Resultados_Obtenidos!M25*1.21</f>
        <v>2662</v>
      </c>
      <c r="M14" s="6">
        <f>Resultados_Obtenidos!N25*1.21</f>
        <v>2662</v>
      </c>
    </row>
    <row r="15" spans="1:19" customFormat="1" x14ac:dyDescent="0.3">
      <c r="A15" s="3" t="str">
        <f>Resultados_Obtenidos!B27</f>
        <v>Suministros (varios)</v>
      </c>
      <c r="B15" s="6">
        <f>Resultados_Obtenidos!C27*1.21</f>
        <v>484</v>
      </c>
      <c r="C15" s="6">
        <f>Resultados_Obtenidos!D27*1.21</f>
        <v>484</v>
      </c>
      <c r="D15" s="6">
        <f>Resultados_Obtenidos!E27*1.21</f>
        <v>484</v>
      </c>
      <c r="E15" s="6">
        <f>Resultados_Obtenidos!F27*1.21</f>
        <v>484</v>
      </c>
      <c r="F15" s="6">
        <f>Resultados_Obtenidos!G27*1.21</f>
        <v>484</v>
      </c>
      <c r="G15" s="6">
        <f>Resultados_Obtenidos!H27*1.21</f>
        <v>484</v>
      </c>
      <c r="H15" s="6">
        <f>Resultados_Obtenidos!I27*1.21</f>
        <v>484</v>
      </c>
      <c r="I15" s="6">
        <f>Resultados_Obtenidos!J27*1.21</f>
        <v>484</v>
      </c>
      <c r="J15" s="6">
        <f>Resultados_Obtenidos!K27*1.21</f>
        <v>484</v>
      </c>
      <c r="K15" s="6">
        <f>Resultados_Obtenidos!L27*1.21</f>
        <v>484</v>
      </c>
      <c r="L15" s="6">
        <f>Resultados_Obtenidos!M27*1.21</f>
        <v>484</v>
      </c>
      <c r="M15" s="6">
        <f>Resultados_Obtenidos!N27*1.21</f>
        <v>484</v>
      </c>
    </row>
    <row r="16" spans="1:19" customFormat="1" x14ac:dyDescent="0.3">
      <c r="A16" s="3" t="str">
        <f>Resultados_Obtenidos!B28</f>
        <v>Telefonía</v>
      </c>
      <c r="B16" s="6">
        <f>Resultados_Obtenidos!C28*1.21</f>
        <v>266.2</v>
      </c>
      <c r="C16" s="6">
        <f>Resultados_Obtenidos!D28*1.21</f>
        <v>266.2</v>
      </c>
      <c r="D16" s="6">
        <f>Resultados_Obtenidos!E28*1.21</f>
        <v>266.2</v>
      </c>
      <c r="E16" s="6">
        <f>Resultados_Obtenidos!F28*1.21</f>
        <v>266.2</v>
      </c>
      <c r="F16" s="6">
        <f>Resultados_Obtenidos!G28*1.21</f>
        <v>266.2</v>
      </c>
      <c r="G16" s="6">
        <f>Resultados_Obtenidos!H28*1.21</f>
        <v>266.2</v>
      </c>
      <c r="H16" s="6">
        <f>Resultados_Obtenidos!I28*1.21</f>
        <v>266.2</v>
      </c>
      <c r="I16" s="6">
        <f>Resultados_Obtenidos!J28*1.21</f>
        <v>266.2</v>
      </c>
      <c r="J16" s="6">
        <f>Resultados_Obtenidos!K28*1.21</f>
        <v>266.2</v>
      </c>
      <c r="K16" s="6">
        <f>Resultados_Obtenidos!L28*1.21</f>
        <v>266.2</v>
      </c>
      <c r="L16" s="6">
        <f>Resultados_Obtenidos!M28*1.21</f>
        <v>266.2</v>
      </c>
      <c r="M16" s="6">
        <f>Resultados_Obtenidos!N28*1.21</f>
        <v>266.2</v>
      </c>
    </row>
    <row r="17" spans="1:13" customFormat="1" x14ac:dyDescent="0.3">
      <c r="A17" s="3" t="str">
        <f>Resultados_Obtenidos!B29</f>
        <v>Electricidad</v>
      </c>
      <c r="B17" s="6">
        <f>Resultados_Obtenidos!C29*1.21</f>
        <v>4356</v>
      </c>
      <c r="C17" s="6">
        <f>Resultados_Obtenidos!D29*1.21</f>
        <v>4235</v>
      </c>
      <c r="D17" s="6">
        <f>Resultados_Obtenidos!E29*1.21</f>
        <v>3993</v>
      </c>
      <c r="E17" s="6">
        <f>Resultados_Obtenidos!F29*1.21</f>
        <v>3751</v>
      </c>
      <c r="F17" s="6">
        <f>Resultados_Obtenidos!G29*1.21</f>
        <v>3630</v>
      </c>
      <c r="G17" s="6">
        <f>Resultados_Obtenidos!H29*1.21</f>
        <v>3509</v>
      </c>
      <c r="H17" s="6">
        <f>Resultados_Obtenidos!I29*1.21</f>
        <v>3509</v>
      </c>
      <c r="I17" s="6">
        <f>Resultados_Obtenidos!J29*1.21</f>
        <v>3569.5</v>
      </c>
      <c r="J17" s="6">
        <f>Resultados_Obtenidos!K29*1.21</f>
        <v>3630</v>
      </c>
      <c r="K17" s="6">
        <f>Resultados_Obtenidos!L29*1.21</f>
        <v>3751</v>
      </c>
      <c r="L17" s="6">
        <f>Resultados_Obtenidos!M29*1.21</f>
        <v>3993</v>
      </c>
      <c r="M17" s="6">
        <f>Resultados_Obtenidos!N29*1.21</f>
        <v>4356</v>
      </c>
    </row>
    <row r="18" spans="1:13" customFormat="1" x14ac:dyDescent="0.3">
      <c r="A18" s="3" t="str">
        <f>Resultados_Obtenidos!B30</f>
        <v>Gas</v>
      </c>
      <c r="B18" s="6">
        <f>Resultados_Obtenidos!C30*1.21</f>
        <v>3146</v>
      </c>
      <c r="C18" s="6">
        <f>Resultados_Obtenidos!D30*1.21</f>
        <v>3085.5</v>
      </c>
      <c r="D18" s="6">
        <f>Resultados_Obtenidos!E30*1.21</f>
        <v>2904</v>
      </c>
      <c r="E18" s="6">
        <f>Resultados_Obtenidos!F30*1.21</f>
        <v>2662</v>
      </c>
      <c r="F18" s="6">
        <f>Resultados_Obtenidos!G30*1.21</f>
        <v>2420</v>
      </c>
      <c r="G18" s="6">
        <f>Resultados_Obtenidos!H30*1.21</f>
        <v>2299</v>
      </c>
      <c r="H18" s="6">
        <f>Resultados_Obtenidos!I30*1.21</f>
        <v>2178</v>
      </c>
      <c r="I18" s="6">
        <f>Resultados_Obtenidos!J30*1.21</f>
        <v>2178</v>
      </c>
      <c r="J18" s="6">
        <f>Resultados_Obtenidos!K30*1.21</f>
        <v>2359.5</v>
      </c>
      <c r="K18" s="6">
        <f>Resultados_Obtenidos!L30*1.21</f>
        <v>2662</v>
      </c>
      <c r="L18" s="6">
        <f>Resultados_Obtenidos!M30*1.21</f>
        <v>2904</v>
      </c>
      <c r="M18" s="6">
        <f>Resultados_Obtenidos!N30*1.21</f>
        <v>3146</v>
      </c>
    </row>
    <row r="19" spans="1:13" customFormat="1" x14ac:dyDescent="0.3">
      <c r="A19" s="3" t="str">
        <f>Resultados_Obtenidos!B31</f>
        <v>Agua</v>
      </c>
      <c r="B19" s="6">
        <f>Resultados_Obtenidos!C31*1.21</f>
        <v>423.5</v>
      </c>
      <c r="C19" s="6">
        <f>Resultados_Obtenidos!D31*1.21</f>
        <v>423.5</v>
      </c>
      <c r="D19" s="6">
        <f>Resultados_Obtenidos!E31*1.21</f>
        <v>423.5</v>
      </c>
      <c r="E19" s="6">
        <f>Resultados_Obtenidos!F31*1.21</f>
        <v>423.5</v>
      </c>
      <c r="F19" s="6">
        <f>Resultados_Obtenidos!G31*1.21</f>
        <v>423.5</v>
      </c>
      <c r="G19" s="6">
        <f>Resultados_Obtenidos!H31*1.21</f>
        <v>423.5</v>
      </c>
      <c r="H19" s="6">
        <f>Resultados_Obtenidos!I31*1.21</f>
        <v>423.5</v>
      </c>
      <c r="I19" s="6">
        <f>Resultados_Obtenidos!J31*1.21</f>
        <v>423.5</v>
      </c>
      <c r="J19" s="6">
        <f>Resultados_Obtenidos!K31*1.21</f>
        <v>423.5</v>
      </c>
      <c r="K19" s="6">
        <f>Resultados_Obtenidos!L31*1.21</f>
        <v>423.5</v>
      </c>
      <c r="L19" s="6">
        <f>Resultados_Obtenidos!M31*1.21</f>
        <v>423.5</v>
      </c>
      <c r="M19" s="6">
        <f>Resultados_Obtenidos!N31*1.21</f>
        <v>423.5</v>
      </c>
    </row>
    <row r="20" spans="1:13" customFormat="1" x14ac:dyDescent="0.3">
      <c r="A20" s="3" t="str">
        <f>Resultados_Obtenidos!B32</f>
        <v>Material de Oficina</v>
      </c>
      <c r="B20" s="6">
        <f>Resultados_Obtenidos!C32*1.21</f>
        <v>193.6</v>
      </c>
      <c r="C20" s="6">
        <f>Resultados_Obtenidos!D32*1.21</f>
        <v>193.6</v>
      </c>
      <c r="D20" s="6">
        <f>Resultados_Obtenidos!E32*1.21</f>
        <v>193.6</v>
      </c>
      <c r="E20" s="6">
        <f>Resultados_Obtenidos!F32*1.21</f>
        <v>193.6</v>
      </c>
      <c r="F20" s="6">
        <f>Resultados_Obtenidos!G32*1.21</f>
        <v>193.6</v>
      </c>
      <c r="G20" s="6">
        <f>Resultados_Obtenidos!H32*1.21</f>
        <v>193.6</v>
      </c>
      <c r="H20" s="6">
        <f>Resultados_Obtenidos!I32*1.21</f>
        <v>193.6</v>
      </c>
      <c r="I20" s="6">
        <f>Resultados_Obtenidos!J32*1.21</f>
        <v>193.6</v>
      </c>
      <c r="J20" s="6">
        <f>Resultados_Obtenidos!K32*1.21</f>
        <v>193.6</v>
      </c>
      <c r="K20" s="6">
        <f>Resultados_Obtenidos!L32*1.21</f>
        <v>193.6</v>
      </c>
      <c r="L20" s="6">
        <f>Resultados_Obtenidos!M32*1.21</f>
        <v>193.6</v>
      </c>
      <c r="M20" s="6">
        <f>Resultados_Obtenidos!N32*1.21</f>
        <v>193.6</v>
      </c>
    </row>
    <row r="21" spans="1:13" customFormat="1" x14ac:dyDescent="0.3">
      <c r="A21" s="3" t="str">
        <f>Resultados_Obtenidos!B35</f>
        <v>Restaurantes</v>
      </c>
      <c r="B21" s="6">
        <f>Resultados_Obtenidos!C35*1.21</f>
        <v>302.5</v>
      </c>
      <c r="C21" s="6">
        <f>Resultados_Obtenidos!D35*1.21</f>
        <v>302.5</v>
      </c>
      <c r="D21" s="6">
        <f>Resultados_Obtenidos!E35*1.21</f>
        <v>302.5</v>
      </c>
      <c r="E21" s="6">
        <f>Resultados_Obtenidos!F35*1.21</f>
        <v>302.5</v>
      </c>
      <c r="F21" s="6">
        <f>Resultados_Obtenidos!G35*1.21</f>
        <v>302.5</v>
      </c>
      <c r="G21" s="6">
        <f>Resultados_Obtenidos!H35*1.21</f>
        <v>302.5</v>
      </c>
      <c r="H21" s="6">
        <f>Resultados_Obtenidos!I35*1.21</f>
        <v>302.5</v>
      </c>
      <c r="I21" s="6">
        <f>Resultados_Obtenidos!J35*1.21</f>
        <v>302.5</v>
      </c>
      <c r="J21" s="6">
        <f>Resultados_Obtenidos!K35*1.21</f>
        <v>302.5</v>
      </c>
      <c r="K21" s="6">
        <f>Resultados_Obtenidos!L35*1.21</f>
        <v>302.5</v>
      </c>
      <c r="L21" s="6">
        <f>Resultados_Obtenidos!M35*1.21</f>
        <v>302.5</v>
      </c>
      <c r="M21" s="6">
        <f>Resultados_Obtenidos!N35*1.21</f>
        <v>302.5</v>
      </c>
    </row>
    <row r="22" spans="1:13" customFormat="1" x14ac:dyDescent="0.3">
      <c r="A22" s="3" t="str">
        <f>Resultados_Obtenidos!B36</f>
        <v>Repostaje</v>
      </c>
      <c r="B22" s="6">
        <f>Resultados_Obtenidos!C36*1.21</f>
        <v>423.5</v>
      </c>
      <c r="C22" s="6">
        <f>Resultados_Obtenidos!D36*1.21</f>
        <v>423.5</v>
      </c>
      <c r="D22" s="6">
        <f>Resultados_Obtenidos!E36*1.21</f>
        <v>423.5</v>
      </c>
      <c r="E22" s="6">
        <f>Resultados_Obtenidos!F36*1.21</f>
        <v>423.5</v>
      </c>
      <c r="F22" s="6">
        <f>Resultados_Obtenidos!G36*1.21</f>
        <v>423.5</v>
      </c>
      <c r="G22" s="6">
        <f>Resultados_Obtenidos!H36*1.21</f>
        <v>423.5</v>
      </c>
      <c r="H22" s="6">
        <f>Resultados_Obtenidos!I36*1.21</f>
        <v>423.5</v>
      </c>
      <c r="I22" s="6">
        <f>Resultados_Obtenidos!J36*1.21</f>
        <v>423.5</v>
      </c>
      <c r="J22" s="6">
        <f>Resultados_Obtenidos!K36*1.21</f>
        <v>423.5</v>
      </c>
      <c r="K22" s="6">
        <f>Resultados_Obtenidos!L36*1.21</f>
        <v>423.5</v>
      </c>
      <c r="L22" s="6">
        <f>Resultados_Obtenidos!M36*1.21</f>
        <v>423.5</v>
      </c>
      <c r="M22" s="6">
        <f>Resultados_Obtenidos!N36*1.21</f>
        <v>423.5</v>
      </c>
    </row>
    <row r="23" spans="1:13" customFormat="1" x14ac:dyDescent="0.3">
      <c r="A23" s="3" t="str">
        <f>Resultados_Obtenidos!B37</f>
        <v>Telepeaje</v>
      </c>
      <c r="B23" s="6">
        <f>Resultados_Obtenidos!C37*1.21</f>
        <v>72.599999999999994</v>
      </c>
      <c r="C23" s="6">
        <f>Resultados_Obtenidos!D37*1.21</f>
        <v>72.599999999999994</v>
      </c>
      <c r="D23" s="6">
        <f>Resultados_Obtenidos!E37*1.21</f>
        <v>72.599999999999994</v>
      </c>
      <c r="E23" s="6">
        <f>Resultados_Obtenidos!F37*1.21</f>
        <v>72.599999999999994</v>
      </c>
      <c r="F23" s="6">
        <f>Resultados_Obtenidos!G37*1.21</f>
        <v>72.599999999999994</v>
      </c>
      <c r="G23" s="6">
        <f>Resultados_Obtenidos!H37*1.21</f>
        <v>72.599999999999994</v>
      </c>
      <c r="H23" s="6">
        <f>Resultados_Obtenidos!I37*1.21</f>
        <v>72.599999999999994</v>
      </c>
      <c r="I23" s="6">
        <f>Resultados_Obtenidos!J37*1.21</f>
        <v>72.599999999999994</v>
      </c>
      <c r="J23" s="6">
        <f>Resultados_Obtenidos!K37*1.21</f>
        <v>72.599999999999994</v>
      </c>
      <c r="K23" s="6">
        <f>Resultados_Obtenidos!L37*1.21</f>
        <v>72.599999999999994</v>
      </c>
      <c r="L23" s="6">
        <f>Resultados_Obtenidos!M37*1.21</f>
        <v>72.599999999999994</v>
      </c>
      <c r="M23" s="6">
        <f>Resultados_Obtenidos!N37*1.21</f>
        <v>72.599999999999994</v>
      </c>
    </row>
    <row r="24" spans="1:13" customFormat="1" x14ac:dyDescent="0.3">
      <c r="A24" s="3" t="str">
        <f>Resultados_Obtenidos!B38</f>
        <v>Gastos lavado coche</v>
      </c>
      <c r="B24" s="6">
        <f>Resultados_Obtenidos!C38*1.21</f>
        <v>48.4</v>
      </c>
      <c r="C24" s="6">
        <f>Resultados_Obtenidos!D38*1.21</f>
        <v>48.4</v>
      </c>
      <c r="D24" s="6">
        <f>Resultados_Obtenidos!E38*1.21</f>
        <v>48.4</v>
      </c>
      <c r="E24" s="6">
        <f>Resultados_Obtenidos!F38*1.21</f>
        <v>48.4</v>
      </c>
      <c r="F24" s="6">
        <f>Resultados_Obtenidos!G38*1.21</f>
        <v>48.4</v>
      </c>
      <c r="G24" s="6">
        <f>Resultados_Obtenidos!H38*1.21</f>
        <v>48.4</v>
      </c>
      <c r="H24" s="6">
        <f>Resultados_Obtenidos!I38*1.21</f>
        <v>48.4</v>
      </c>
      <c r="I24" s="6">
        <f>Resultados_Obtenidos!J38*1.21</f>
        <v>48.4</v>
      </c>
      <c r="J24" s="6">
        <f>Resultados_Obtenidos!K38*1.21</f>
        <v>48.4</v>
      </c>
      <c r="K24" s="6">
        <f>Resultados_Obtenidos!L38*1.21</f>
        <v>48.4</v>
      </c>
      <c r="L24" s="6">
        <f>Resultados_Obtenidos!M38*1.21</f>
        <v>48.4</v>
      </c>
      <c r="M24" s="6">
        <f>Resultados_Obtenidos!N38*1.21</f>
        <v>48.4</v>
      </c>
    </row>
    <row r="25" spans="1:13" customFormat="1" x14ac:dyDescent="0.3">
      <c r="A25" s="3" t="str">
        <f>Resultados_Obtenidos!B39</f>
        <v>Gastos limpieza</v>
      </c>
      <c r="B25" s="6">
        <f>Resultados_Obtenidos!C39*1.21</f>
        <v>1452</v>
      </c>
      <c r="C25" s="6">
        <f>Resultados_Obtenidos!D39*1.21</f>
        <v>1452</v>
      </c>
      <c r="D25" s="6">
        <f>Resultados_Obtenidos!E39*1.21</f>
        <v>1452</v>
      </c>
      <c r="E25" s="6">
        <f>Resultados_Obtenidos!F39*1.21</f>
        <v>1452</v>
      </c>
      <c r="F25" s="6">
        <f>Resultados_Obtenidos!G39*1.21</f>
        <v>1452</v>
      </c>
      <c r="G25" s="6">
        <f>Resultados_Obtenidos!H39*1.21</f>
        <v>1452</v>
      </c>
      <c r="H25" s="6">
        <f>Resultados_Obtenidos!I39*1.21</f>
        <v>1452</v>
      </c>
      <c r="I25" s="6">
        <f>Resultados_Obtenidos!J39*1.21</f>
        <v>1452</v>
      </c>
      <c r="J25" s="6">
        <f>Resultados_Obtenidos!K39*1.21</f>
        <v>1452</v>
      </c>
      <c r="K25" s="6">
        <f>Resultados_Obtenidos!L39*1.21</f>
        <v>1452</v>
      </c>
      <c r="L25" s="6">
        <f>Resultados_Obtenidos!M39*1.21</f>
        <v>1452</v>
      </c>
      <c r="M25" s="6">
        <f>Resultados_Obtenidos!N39*1.21</f>
        <v>1452</v>
      </c>
    </row>
    <row r="26" spans="1:13" customFormat="1" x14ac:dyDescent="0.3">
      <c r="A26" s="3" t="str">
        <f>Resultados_Obtenidos!B40</f>
        <v>Compra dispositivo a plazos</v>
      </c>
      <c r="B26" s="6">
        <f>Resultados_Obtenidos!C40*1.21</f>
        <v>484</v>
      </c>
      <c r="C26" s="6">
        <f>Resultados_Obtenidos!D40*1.21</f>
        <v>484</v>
      </c>
      <c r="D26" s="6">
        <f>Resultados_Obtenidos!E40*1.21</f>
        <v>484</v>
      </c>
      <c r="E26" s="6">
        <f>Resultados_Obtenidos!F40*1.21</f>
        <v>484</v>
      </c>
      <c r="F26" s="6">
        <f>Resultados_Obtenidos!G40*1.21</f>
        <v>484</v>
      </c>
      <c r="G26" s="6">
        <f>Resultados_Obtenidos!H40*1.21</f>
        <v>484</v>
      </c>
      <c r="H26" s="6">
        <f>Resultados_Obtenidos!I40*1.21</f>
        <v>484</v>
      </c>
      <c r="I26" s="6">
        <f>Resultados_Obtenidos!J40*1.21</f>
        <v>484</v>
      </c>
      <c r="J26" s="6">
        <f>Resultados_Obtenidos!K40*1.21</f>
        <v>484</v>
      </c>
      <c r="K26" s="6">
        <f>Resultados_Obtenidos!L40*1.21</f>
        <v>484</v>
      </c>
      <c r="L26" s="6">
        <f>Resultados_Obtenidos!M40*1.21</f>
        <v>484</v>
      </c>
      <c r="M26" s="6">
        <f>Resultados_Obtenidos!N40*1.21</f>
        <v>484</v>
      </c>
    </row>
    <row r="27" spans="1:13" customFormat="1" x14ac:dyDescent="0.3">
      <c r="A27" s="3" t="str">
        <f>Resultados_Obtenidos!B41</f>
        <v>Compras de libros</v>
      </c>
      <c r="B27" s="6">
        <f>Resultados_Obtenidos!C41*1.21</f>
        <v>36.299999999999997</v>
      </c>
      <c r="C27" s="6">
        <f>Resultados_Obtenidos!D41*1.21</f>
        <v>36.299999999999997</v>
      </c>
      <c r="D27" s="6">
        <f>Resultados_Obtenidos!E41*1.21</f>
        <v>36.299999999999997</v>
      </c>
      <c r="E27" s="6">
        <f>Resultados_Obtenidos!F41*1.21</f>
        <v>36.299999999999997</v>
      </c>
      <c r="F27" s="6">
        <f>Resultados_Obtenidos!G41*1.21</f>
        <v>36.299999999999997</v>
      </c>
      <c r="G27" s="6">
        <f>Resultados_Obtenidos!H41*1.21</f>
        <v>36.299999999999997</v>
      </c>
      <c r="H27" s="6">
        <f>Resultados_Obtenidos!I41*1.21</f>
        <v>36.299999999999997</v>
      </c>
      <c r="I27" s="6">
        <f>Resultados_Obtenidos!J41*1.21</f>
        <v>36.299999999999997</v>
      </c>
      <c r="J27" s="6">
        <f>Resultados_Obtenidos!K41*1.21</f>
        <v>36.299999999999997</v>
      </c>
      <c r="K27" s="6">
        <f>Resultados_Obtenidos!L41*1.21</f>
        <v>36.299999999999997</v>
      </c>
      <c r="L27" s="6">
        <f>Resultados_Obtenidos!M41*1.21</f>
        <v>36.299999999999997</v>
      </c>
      <c r="M27" s="6">
        <f>Resultados_Obtenidos!N41*1.21</f>
        <v>36.299999999999997</v>
      </c>
    </row>
    <row r="28" spans="1:13" customFormat="1" x14ac:dyDescent="0.3">
      <c r="A28" s="3" t="str">
        <f>Resultados_Obtenidos!B42</f>
        <v>Gastos informáticos</v>
      </c>
      <c r="B28" s="6">
        <f>Resultados_Obtenidos!C42*1.21</f>
        <v>786.5</v>
      </c>
      <c r="C28" s="6">
        <f>Resultados_Obtenidos!D42*1.21</f>
        <v>786.5</v>
      </c>
      <c r="D28" s="6">
        <f>Resultados_Obtenidos!E42*1.21</f>
        <v>786.5</v>
      </c>
      <c r="E28" s="6">
        <f>Resultados_Obtenidos!F42*1.21</f>
        <v>786.5</v>
      </c>
      <c r="F28" s="6">
        <f>Resultados_Obtenidos!G42*1.21</f>
        <v>786.5</v>
      </c>
      <c r="G28" s="6">
        <f>Resultados_Obtenidos!H42*1.21</f>
        <v>786.5</v>
      </c>
      <c r="H28" s="6">
        <f>Resultados_Obtenidos!I42*1.21</f>
        <v>786.5</v>
      </c>
      <c r="I28" s="6">
        <f>Resultados_Obtenidos!J42*1.21</f>
        <v>786.5</v>
      </c>
      <c r="J28" s="6">
        <f>Resultados_Obtenidos!K42*1.21</f>
        <v>786.5</v>
      </c>
      <c r="K28" s="6">
        <f>Resultados_Obtenidos!L42*1.21</f>
        <v>786.5</v>
      </c>
      <c r="L28" s="6">
        <f>Resultados_Obtenidos!M42*1.21</f>
        <v>786.5</v>
      </c>
      <c r="M28" s="6">
        <f>Resultados_Obtenidos!N42*1.21</f>
        <v>786.5</v>
      </c>
    </row>
    <row r="29" spans="1:13" customFormat="1" x14ac:dyDescent="0.3">
      <c r="A29" s="3" t="str">
        <f>Resultados_Obtenidos!B43</f>
        <v>Dominios</v>
      </c>
      <c r="B29" s="6">
        <f>Resultados_Obtenidos!C43*1.21</f>
        <v>36.299999999999997</v>
      </c>
      <c r="C29" s="6">
        <f>Resultados_Obtenidos!D43*1.21</f>
        <v>36.299999999999997</v>
      </c>
      <c r="D29" s="6">
        <f>Resultados_Obtenidos!E43*1.21</f>
        <v>36.299999999999997</v>
      </c>
      <c r="E29" s="6">
        <f>Resultados_Obtenidos!F43*1.21</f>
        <v>36.299999999999997</v>
      </c>
      <c r="F29" s="6">
        <f>Resultados_Obtenidos!G43*1.21</f>
        <v>36.299999999999997</v>
      </c>
      <c r="G29" s="6">
        <f>Resultados_Obtenidos!H43*1.21</f>
        <v>36.299999999999997</v>
      </c>
      <c r="H29" s="6">
        <f>Resultados_Obtenidos!I43*1.21</f>
        <v>36.299999999999997</v>
      </c>
      <c r="I29" s="6">
        <f>Resultados_Obtenidos!J43*1.21</f>
        <v>36.299999999999997</v>
      </c>
      <c r="J29" s="6">
        <f>Resultados_Obtenidos!K43*1.21</f>
        <v>36.299999999999997</v>
      </c>
      <c r="K29" s="6">
        <f>Resultados_Obtenidos!L43*1.21</f>
        <v>36.299999999999997</v>
      </c>
      <c r="L29" s="6">
        <f>Resultados_Obtenidos!M43*1.21</f>
        <v>36.299999999999997</v>
      </c>
      <c r="M29" s="6">
        <f>Resultados_Obtenidos!N43*1.21</f>
        <v>36.299999999999997</v>
      </c>
    </row>
    <row r="30" spans="1:13" customFormat="1" x14ac:dyDescent="0.3">
      <c r="A30" s="28" t="s">
        <v>83</v>
      </c>
      <c r="B30" s="7">
        <f>SUM(B31:B34)</f>
        <v>8100</v>
      </c>
      <c r="C30" s="7">
        <f t="shared" ref="C30:M30" si="3">SUM(C31:C34)</f>
        <v>8100</v>
      </c>
      <c r="D30" s="7">
        <f t="shared" si="3"/>
        <v>8100</v>
      </c>
      <c r="E30" s="7">
        <f t="shared" si="3"/>
        <v>8100</v>
      </c>
      <c r="F30" s="7">
        <f t="shared" si="3"/>
        <v>8100</v>
      </c>
      <c r="G30" s="7">
        <f t="shared" si="3"/>
        <v>8100</v>
      </c>
      <c r="H30" s="7">
        <f t="shared" si="3"/>
        <v>8100</v>
      </c>
      <c r="I30" s="7">
        <f t="shared" si="3"/>
        <v>8100</v>
      </c>
      <c r="J30" s="7">
        <f t="shared" si="3"/>
        <v>8100</v>
      </c>
      <c r="K30" s="7">
        <f t="shared" si="3"/>
        <v>8100</v>
      </c>
      <c r="L30" s="7">
        <f t="shared" si="3"/>
        <v>8100</v>
      </c>
      <c r="M30" s="7">
        <f t="shared" si="3"/>
        <v>8100</v>
      </c>
    </row>
    <row r="31" spans="1:13" customFormat="1" x14ac:dyDescent="0.3">
      <c r="A31" s="3" t="str">
        <f>Resultados_Obtenidos!B20</f>
        <v>Alquileres</v>
      </c>
      <c r="B31" s="6">
        <f>Resultados_Obtenidos!C20</f>
        <v>6500</v>
      </c>
      <c r="C31" s="6">
        <f>Resultados_Obtenidos!D20</f>
        <v>6500</v>
      </c>
      <c r="D31" s="6">
        <f>Resultados_Obtenidos!E20</f>
        <v>6500</v>
      </c>
      <c r="E31" s="6">
        <f>Resultados_Obtenidos!F20</f>
        <v>6500</v>
      </c>
      <c r="F31" s="6">
        <f>Resultados_Obtenidos!G20</f>
        <v>6500</v>
      </c>
      <c r="G31" s="6">
        <f>Resultados_Obtenidos!H20</f>
        <v>6500</v>
      </c>
      <c r="H31" s="6">
        <f>Resultados_Obtenidos!I20</f>
        <v>6500</v>
      </c>
      <c r="I31" s="6">
        <f>Resultados_Obtenidos!J20</f>
        <v>6500</v>
      </c>
      <c r="J31" s="6">
        <f>Resultados_Obtenidos!K20</f>
        <v>6500</v>
      </c>
      <c r="K31" s="6">
        <f>Resultados_Obtenidos!L20</f>
        <v>6500</v>
      </c>
      <c r="L31" s="6">
        <f>Resultados_Obtenidos!M20</f>
        <v>6500</v>
      </c>
      <c r="M31" s="6">
        <f>Resultados_Obtenidos!N20</f>
        <v>6500</v>
      </c>
    </row>
    <row r="32" spans="1:13" customFormat="1" x14ac:dyDescent="0.3">
      <c r="A32" s="3" t="str">
        <f>Resultados_Obtenidos!B23</f>
        <v>Primas de Seguros</v>
      </c>
      <c r="B32" s="6">
        <f>Resultados_Obtenidos!C23</f>
        <v>450</v>
      </c>
      <c r="C32" s="6">
        <f>Resultados_Obtenidos!D23</f>
        <v>450</v>
      </c>
      <c r="D32" s="6">
        <f>Resultados_Obtenidos!E23</f>
        <v>450</v>
      </c>
      <c r="E32" s="6">
        <f>Resultados_Obtenidos!F23</f>
        <v>450</v>
      </c>
      <c r="F32" s="6">
        <f>Resultados_Obtenidos!G23</f>
        <v>450</v>
      </c>
      <c r="G32" s="6">
        <f>Resultados_Obtenidos!H23</f>
        <v>450</v>
      </c>
      <c r="H32" s="6">
        <f>Resultados_Obtenidos!I23</f>
        <v>450</v>
      </c>
      <c r="I32" s="6">
        <f>Resultados_Obtenidos!J23</f>
        <v>450</v>
      </c>
      <c r="J32" s="6">
        <f>Resultados_Obtenidos!K23</f>
        <v>450</v>
      </c>
      <c r="K32" s="6">
        <f>Resultados_Obtenidos!L23</f>
        <v>450</v>
      </c>
      <c r="L32" s="6">
        <f>Resultados_Obtenidos!M23</f>
        <v>450</v>
      </c>
      <c r="M32" s="6">
        <f>Resultados_Obtenidos!N23</f>
        <v>450</v>
      </c>
    </row>
    <row r="33" spans="1:14" customFormat="1" x14ac:dyDescent="0.3">
      <c r="A33" s="3" t="str">
        <f>Resultados_Obtenidos!B24</f>
        <v>Servicios bancarios y similares</v>
      </c>
      <c r="B33" s="6">
        <f>Resultados_Obtenidos!C24</f>
        <v>250</v>
      </c>
      <c r="C33" s="6">
        <f>Resultados_Obtenidos!D24</f>
        <v>250</v>
      </c>
      <c r="D33" s="6">
        <f>Resultados_Obtenidos!E24</f>
        <v>250</v>
      </c>
      <c r="E33" s="6">
        <f>Resultados_Obtenidos!F24</f>
        <v>250</v>
      </c>
      <c r="F33" s="6">
        <f>Resultados_Obtenidos!G24</f>
        <v>250</v>
      </c>
      <c r="G33" s="6">
        <f>Resultados_Obtenidos!H24</f>
        <v>250</v>
      </c>
      <c r="H33" s="6">
        <f>Resultados_Obtenidos!I24</f>
        <v>250</v>
      </c>
      <c r="I33" s="6">
        <f>Resultados_Obtenidos!J24</f>
        <v>250</v>
      </c>
      <c r="J33" s="6">
        <f>Resultados_Obtenidos!K24</f>
        <v>250</v>
      </c>
      <c r="K33" s="6">
        <f>Resultados_Obtenidos!L24</f>
        <v>250</v>
      </c>
      <c r="L33" s="6">
        <f>Resultados_Obtenidos!M24</f>
        <v>250</v>
      </c>
      <c r="M33" s="6">
        <f>Resultados_Obtenidos!N24</f>
        <v>250</v>
      </c>
    </row>
    <row r="34" spans="1:14" customFormat="1" x14ac:dyDescent="0.3">
      <c r="A34" s="3" t="str">
        <f>Resultados_Obtenidos!B34</f>
        <v>Otros tributos</v>
      </c>
      <c r="B34" s="6">
        <f>Resultados_Obtenidos!C34</f>
        <v>900</v>
      </c>
      <c r="C34" s="6">
        <f>Resultados_Obtenidos!D34</f>
        <v>900</v>
      </c>
      <c r="D34" s="6">
        <f>Resultados_Obtenidos!E34</f>
        <v>900</v>
      </c>
      <c r="E34" s="6">
        <f>Resultados_Obtenidos!F34</f>
        <v>900</v>
      </c>
      <c r="F34" s="6">
        <f>Resultados_Obtenidos!G34</f>
        <v>900</v>
      </c>
      <c r="G34" s="6">
        <f>Resultados_Obtenidos!H34</f>
        <v>900</v>
      </c>
      <c r="H34" s="6">
        <f>Resultados_Obtenidos!I34</f>
        <v>900</v>
      </c>
      <c r="I34" s="6">
        <f>Resultados_Obtenidos!J34</f>
        <v>900</v>
      </c>
      <c r="J34" s="6">
        <f>Resultados_Obtenidos!K34</f>
        <v>900</v>
      </c>
      <c r="K34" s="6">
        <f>Resultados_Obtenidos!L34</f>
        <v>900</v>
      </c>
      <c r="L34" s="6">
        <f>Resultados_Obtenidos!M34</f>
        <v>900</v>
      </c>
      <c r="M34" s="6">
        <f>Resultados_Obtenidos!N34</f>
        <v>900</v>
      </c>
    </row>
    <row r="35" spans="1:14" customFormat="1" x14ac:dyDescent="0.3">
      <c r="A35" s="29" t="s">
        <v>53</v>
      </c>
      <c r="B35" s="30">
        <f t="shared" ref="B35:M35" si="4">B3-B8</f>
        <v>10907</v>
      </c>
      <c r="C35" s="30">
        <f t="shared" si="4"/>
        <v>7277</v>
      </c>
      <c r="D35" s="30">
        <f t="shared" si="4"/>
        <v>16957</v>
      </c>
      <c r="E35" s="30">
        <f t="shared" si="4"/>
        <v>21797</v>
      </c>
      <c r="F35" s="30">
        <f t="shared" si="4"/>
        <v>26637</v>
      </c>
      <c r="G35" s="30">
        <f t="shared" si="4"/>
        <v>31477</v>
      </c>
      <c r="H35" s="30">
        <f t="shared" si="4"/>
        <v>35107</v>
      </c>
      <c r="I35" s="30">
        <f t="shared" si="4"/>
        <v>39947</v>
      </c>
      <c r="J35" s="30">
        <f t="shared" si="4"/>
        <v>26637</v>
      </c>
      <c r="K35" s="30">
        <f t="shared" si="4"/>
        <v>21797</v>
      </c>
      <c r="L35" s="30">
        <f t="shared" si="4"/>
        <v>16957</v>
      </c>
      <c r="M35" s="30">
        <f t="shared" si="4"/>
        <v>37451</v>
      </c>
    </row>
    <row r="36" spans="1:14" x14ac:dyDescent="0.3">
      <c r="A36" s="31"/>
      <c r="B36" s="32"/>
      <c r="C36" s="34"/>
      <c r="D36" s="34"/>
      <c r="E36" s="32"/>
      <c r="F36" s="32"/>
      <c r="G36" s="32"/>
      <c r="H36" s="32"/>
      <c r="I36" s="32"/>
      <c r="J36" s="32"/>
      <c r="K36" s="32"/>
      <c r="L36" s="32"/>
      <c r="M36" s="32"/>
    </row>
    <row r="37" spans="1:14" ht="10.5" customHeight="1" x14ac:dyDescent="0.3">
      <c r="A37" s="31"/>
      <c r="B37" s="227" t="s">
        <v>87</v>
      </c>
      <c r="C37" s="227"/>
      <c r="D37" s="227"/>
      <c r="E37" s="227"/>
      <c r="F37" s="227"/>
      <c r="G37" s="227"/>
      <c r="H37" s="227"/>
      <c r="I37" s="227"/>
      <c r="J37" s="227"/>
      <c r="K37" s="227"/>
      <c r="L37" s="227"/>
      <c r="M37" s="227"/>
    </row>
    <row r="38" spans="1:14" ht="18.75" customHeight="1" thickBot="1" x14ac:dyDescent="0.35">
      <c r="B38" s="228"/>
      <c r="C38" s="228"/>
      <c r="D38" s="228"/>
      <c r="E38" s="228"/>
      <c r="F38" s="228"/>
      <c r="G38" s="228"/>
      <c r="H38" s="228"/>
      <c r="I38" s="228"/>
      <c r="J38" s="228"/>
      <c r="K38" s="228"/>
      <c r="L38" s="228"/>
      <c r="M38" s="228"/>
    </row>
    <row r="39" spans="1:14" ht="15.6" x14ac:dyDescent="0.3">
      <c r="A39" s="41" t="s">
        <v>85</v>
      </c>
      <c r="B39" s="87">
        <f>B3-Resultados_Obtenidos!C3</f>
        <v>18060</v>
      </c>
      <c r="C39" s="87">
        <f>C3-Resultados_Obtenidos!D3</f>
        <v>17010</v>
      </c>
      <c r="D39" s="87">
        <f>D3-Resultados_Obtenidos!E3</f>
        <v>19110</v>
      </c>
      <c r="E39" s="87">
        <f>E3-Resultados_Obtenidos!F3</f>
        <v>20160</v>
      </c>
      <c r="F39" s="87">
        <f>F3-Resultados_Obtenidos!G3</f>
        <v>21210</v>
      </c>
      <c r="G39" s="87">
        <f>G3-Resultados_Obtenidos!H3</f>
        <v>22260</v>
      </c>
      <c r="H39" s="87">
        <f>H3-Resultados_Obtenidos!I3</f>
        <v>23310</v>
      </c>
      <c r="I39" s="87">
        <f>I3-Resultados_Obtenidos!J3</f>
        <v>24360</v>
      </c>
      <c r="J39" s="87">
        <f>J3-Resultados_Obtenidos!K3</f>
        <v>21210</v>
      </c>
      <c r="K39" s="87">
        <f>K3-Resultados_Obtenidos!L3</f>
        <v>20160</v>
      </c>
      <c r="L39" s="87">
        <f>L3-Resultados_Obtenidos!M3</f>
        <v>19110</v>
      </c>
      <c r="M39" s="87">
        <f>M3-Resultados_Obtenidos!N3</f>
        <v>25410</v>
      </c>
    </row>
    <row r="40" spans="1:14" x14ac:dyDescent="0.3">
      <c r="A40" s="43" t="s">
        <v>84</v>
      </c>
      <c r="B40" s="44">
        <f>(B9+B11)-((B9+B11)/1.21)</f>
        <v>8253</v>
      </c>
      <c r="C40" s="44">
        <f t="shared" ref="C40:M40" si="5">(C9+C11)-((C9+C11)/1.21)</f>
        <v>7833</v>
      </c>
      <c r="D40" s="44">
        <f t="shared" si="5"/>
        <v>8253</v>
      </c>
      <c r="E40" s="44">
        <f t="shared" si="5"/>
        <v>8463</v>
      </c>
      <c r="F40" s="44">
        <f t="shared" si="5"/>
        <v>8673</v>
      </c>
      <c r="G40" s="44">
        <f t="shared" si="5"/>
        <v>8883</v>
      </c>
      <c r="H40" s="44">
        <f t="shared" si="5"/>
        <v>9303</v>
      </c>
      <c r="I40" s="44">
        <f t="shared" si="5"/>
        <v>9513</v>
      </c>
      <c r="J40" s="44">
        <f t="shared" si="5"/>
        <v>8673</v>
      </c>
      <c r="K40" s="44">
        <f t="shared" si="5"/>
        <v>8463</v>
      </c>
      <c r="L40" s="44">
        <f t="shared" si="5"/>
        <v>8253</v>
      </c>
      <c r="M40" s="44">
        <f t="shared" si="5"/>
        <v>10059</v>
      </c>
      <c r="N40" s="8" t="s">
        <v>126</v>
      </c>
    </row>
    <row r="41" spans="1:14" x14ac:dyDescent="0.3">
      <c r="A41" s="45" t="s">
        <v>86</v>
      </c>
      <c r="B41" s="40">
        <v>70000</v>
      </c>
      <c r="C41" s="40"/>
      <c r="D41" s="40"/>
      <c r="E41" s="40">
        <f>(SUM(B39:D39)-SUM(B40:D40))</f>
        <v>29841</v>
      </c>
      <c r="F41" s="40"/>
      <c r="G41" s="40"/>
      <c r="H41" s="40">
        <f t="shared" ref="H41" si="6">(SUM(E39:G39)-SUM(E40:G40))</f>
        <v>37611</v>
      </c>
      <c r="I41" s="40"/>
      <c r="J41" s="40"/>
      <c r="K41" s="40">
        <f t="shared" ref="K41" si="7">(SUM(H39:J39)-SUM(H40:J40))</f>
        <v>41391</v>
      </c>
      <c r="L41" s="40"/>
      <c r="M41" s="40"/>
      <c r="N41" s="40">
        <f t="shared" ref="N41" si="8">(SUM(K39:M39)-SUM(K40:M40))</f>
        <v>37905</v>
      </c>
    </row>
    <row r="42" spans="1:14" x14ac:dyDescent="0.3">
      <c r="A42" s="31"/>
      <c r="B42" s="32"/>
      <c r="C42" s="32"/>
      <c r="D42" s="32"/>
      <c r="E42" s="32"/>
      <c r="F42" s="32"/>
      <c r="G42" s="32"/>
      <c r="H42" s="32"/>
      <c r="I42" s="32"/>
      <c r="J42" s="32"/>
      <c r="K42" s="32"/>
      <c r="L42" s="32"/>
      <c r="M42" s="32"/>
    </row>
    <row r="43" spans="1:14" x14ac:dyDescent="0.3">
      <c r="A43" s="31" t="s">
        <v>103</v>
      </c>
      <c r="B43" s="32">
        <v>125000</v>
      </c>
      <c r="C43" s="32"/>
      <c r="D43" s="32"/>
      <c r="E43" s="32"/>
      <c r="F43" s="32"/>
      <c r="G43" s="32"/>
      <c r="H43" s="32"/>
      <c r="I43" s="32"/>
      <c r="J43" s="32"/>
      <c r="K43" s="32"/>
      <c r="L43" s="32"/>
      <c r="M43" s="32"/>
    </row>
    <row r="44" spans="1:14" customFormat="1" ht="17.399999999999999" x14ac:dyDescent="0.3">
      <c r="A44" s="35"/>
      <c r="B44" s="226" t="s">
        <v>88</v>
      </c>
      <c r="C44" s="226"/>
      <c r="D44" s="226"/>
      <c r="E44" s="226"/>
      <c r="F44" s="226"/>
      <c r="G44" s="226"/>
      <c r="H44" s="226"/>
      <c r="I44" s="226"/>
      <c r="J44" s="226"/>
      <c r="K44" s="226"/>
      <c r="L44" s="226"/>
      <c r="M44" s="226"/>
    </row>
    <row r="45" spans="1:14" customFormat="1" ht="15.6" x14ac:dyDescent="0.3">
      <c r="A45" s="41" t="s">
        <v>89</v>
      </c>
      <c r="B45" s="42">
        <f t="shared" ref="B45:M45" si="9">B3</f>
        <v>104060</v>
      </c>
      <c r="C45" s="42">
        <f t="shared" si="9"/>
        <v>98010</v>
      </c>
      <c r="D45" s="42">
        <f t="shared" si="9"/>
        <v>110110</v>
      </c>
      <c r="E45" s="42">
        <f t="shared" si="9"/>
        <v>116160</v>
      </c>
      <c r="F45" s="42">
        <f t="shared" si="9"/>
        <v>122210</v>
      </c>
      <c r="G45" s="42">
        <f t="shared" si="9"/>
        <v>128260</v>
      </c>
      <c r="H45" s="42">
        <f t="shared" si="9"/>
        <v>134310</v>
      </c>
      <c r="I45" s="42">
        <f t="shared" si="9"/>
        <v>140360</v>
      </c>
      <c r="J45" s="42">
        <f t="shared" si="9"/>
        <v>122210</v>
      </c>
      <c r="K45" s="42">
        <f t="shared" si="9"/>
        <v>116160</v>
      </c>
      <c r="L45" s="42">
        <f t="shared" si="9"/>
        <v>110110</v>
      </c>
      <c r="M45" s="42">
        <f t="shared" si="9"/>
        <v>146410</v>
      </c>
    </row>
    <row r="46" spans="1:14" ht="15.6" x14ac:dyDescent="0.3">
      <c r="A46" s="41" t="s">
        <v>90</v>
      </c>
      <c r="B46" s="42">
        <f>B8</f>
        <v>93153</v>
      </c>
      <c r="C46" s="42">
        <f t="shared" ref="C46:M46" si="10">C8</f>
        <v>90733</v>
      </c>
      <c r="D46" s="42">
        <f t="shared" si="10"/>
        <v>93153</v>
      </c>
      <c r="E46" s="42">
        <f t="shared" si="10"/>
        <v>94363</v>
      </c>
      <c r="F46" s="42">
        <f t="shared" si="10"/>
        <v>95573</v>
      </c>
      <c r="G46" s="42">
        <f t="shared" si="10"/>
        <v>96783</v>
      </c>
      <c r="H46" s="42">
        <f t="shared" si="10"/>
        <v>99203</v>
      </c>
      <c r="I46" s="42">
        <f t="shared" si="10"/>
        <v>100413</v>
      </c>
      <c r="J46" s="42">
        <f t="shared" si="10"/>
        <v>95573</v>
      </c>
      <c r="K46" s="42">
        <f t="shared" si="10"/>
        <v>94363</v>
      </c>
      <c r="L46" s="42">
        <f t="shared" si="10"/>
        <v>93153</v>
      </c>
      <c r="M46" s="42">
        <f t="shared" si="10"/>
        <v>108959</v>
      </c>
    </row>
    <row r="47" spans="1:14" ht="15.6" x14ac:dyDescent="0.3">
      <c r="A47" s="41" t="s">
        <v>101</v>
      </c>
      <c r="B47" s="42">
        <f>B41</f>
        <v>70000</v>
      </c>
      <c r="C47" s="42">
        <f t="shared" ref="C47:M47" si="11">C41</f>
        <v>0</v>
      </c>
      <c r="D47" s="42">
        <f t="shared" si="11"/>
        <v>0</v>
      </c>
      <c r="E47" s="42">
        <f t="shared" si="11"/>
        <v>29841</v>
      </c>
      <c r="F47" s="42">
        <f t="shared" si="11"/>
        <v>0</v>
      </c>
      <c r="G47" s="42">
        <f t="shared" si="11"/>
        <v>0</v>
      </c>
      <c r="H47" s="42">
        <f t="shared" si="11"/>
        <v>37611</v>
      </c>
      <c r="I47" s="42">
        <f t="shared" si="11"/>
        <v>0</v>
      </c>
      <c r="J47" s="42">
        <f t="shared" si="11"/>
        <v>0</v>
      </c>
      <c r="K47" s="42">
        <f t="shared" si="11"/>
        <v>41391</v>
      </c>
      <c r="L47" s="42">
        <f t="shared" si="11"/>
        <v>0</v>
      </c>
      <c r="M47" s="42">
        <f t="shared" si="11"/>
        <v>0</v>
      </c>
    </row>
    <row r="48" spans="1:14" x14ac:dyDescent="0.3">
      <c r="A48" s="43" t="s">
        <v>102</v>
      </c>
      <c r="B48" s="44">
        <f>B45-B46-B47</f>
        <v>-59093</v>
      </c>
      <c r="C48" s="44">
        <f t="shared" ref="C48:M48" si="12">C45-C46-C47</f>
        <v>7277</v>
      </c>
      <c r="D48" s="44">
        <f t="shared" si="12"/>
        <v>16957</v>
      </c>
      <c r="E48" s="44">
        <f t="shared" si="12"/>
        <v>-8044</v>
      </c>
      <c r="F48" s="44">
        <f t="shared" si="12"/>
        <v>26637</v>
      </c>
      <c r="G48" s="44">
        <f t="shared" si="12"/>
        <v>31477</v>
      </c>
      <c r="H48" s="44">
        <f t="shared" si="12"/>
        <v>-2504</v>
      </c>
      <c r="I48" s="44">
        <f t="shared" si="12"/>
        <v>39947</v>
      </c>
      <c r="J48" s="44">
        <f t="shared" si="12"/>
        <v>26637</v>
      </c>
      <c r="K48" s="44">
        <f t="shared" si="12"/>
        <v>-19594</v>
      </c>
      <c r="L48" s="44">
        <f t="shared" si="12"/>
        <v>16957</v>
      </c>
      <c r="M48" s="44">
        <f t="shared" si="12"/>
        <v>37451</v>
      </c>
    </row>
    <row r="49" spans="1:13" x14ac:dyDescent="0.3">
      <c r="A49" s="45" t="s">
        <v>91</v>
      </c>
      <c r="B49" s="40">
        <f>B43+B48</f>
        <v>65907</v>
      </c>
      <c r="C49" s="40">
        <f>B49+C48</f>
        <v>73184</v>
      </c>
      <c r="D49" s="40">
        <f t="shared" ref="D49:M49" si="13">C49+D48</f>
        <v>90141</v>
      </c>
      <c r="E49" s="40">
        <f t="shared" si="13"/>
        <v>82097</v>
      </c>
      <c r="F49" s="40">
        <f t="shared" si="13"/>
        <v>108734</v>
      </c>
      <c r="G49" s="40">
        <f t="shared" si="13"/>
        <v>140211</v>
      </c>
      <c r="H49" s="40">
        <f t="shared" si="13"/>
        <v>137707</v>
      </c>
      <c r="I49" s="40">
        <f t="shared" si="13"/>
        <v>177654</v>
      </c>
      <c r="J49" s="40">
        <f t="shared" si="13"/>
        <v>204291</v>
      </c>
      <c r="K49" s="40">
        <f t="shared" si="13"/>
        <v>184697</v>
      </c>
      <c r="L49" s="40">
        <f t="shared" si="13"/>
        <v>201654</v>
      </c>
      <c r="M49" s="40">
        <f t="shared" si="13"/>
        <v>239105</v>
      </c>
    </row>
    <row r="50" spans="1:13" x14ac:dyDescent="0.3">
      <c r="A50" s="46"/>
      <c r="B50" s="47"/>
      <c r="C50" s="48"/>
      <c r="D50" s="48"/>
      <c r="E50" s="48"/>
      <c r="F50" s="48"/>
      <c r="G50" s="48"/>
      <c r="H50" s="48"/>
      <c r="I50" s="48"/>
      <c r="J50" s="48"/>
      <c r="K50" s="48"/>
      <c r="L50" s="48"/>
      <c r="M50" s="49"/>
    </row>
    <row r="51" spans="1:13" x14ac:dyDescent="0.3">
      <c r="A51" s="46"/>
      <c r="B51" s="47"/>
      <c r="C51" s="48"/>
      <c r="D51" s="48"/>
      <c r="E51" s="48"/>
      <c r="F51" s="48"/>
      <c r="G51" s="48"/>
      <c r="H51" s="48"/>
      <c r="I51" s="48"/>
      <c r="J51" s="48"/>
      <c r="K51" s="48"/>
      <c r="L51" s="48"/>
      <c r="M51" s="49"/>
    </row>
    <row r="52" spans="1:13" x14ac:dyDescent="0.3">
      <c r="A52" s="46"/>
      <c r="B52" s="47"/>
      <c r="C52" s="48"/>
      <c r="D52" s="48"/>
      <c r="E52" s="48"/>
      <c r="F52" s="48"/>
      <c r="G52" s="48"/>
      <c r="H52" s="48"/>
      <c r="I52" s="48"/>
      <c r="J52" s="48"/>
      <c r="K52" s="48"/>
      <c r="L52" s="48"/>
      <c r="M52" s="49"/>
    </row>
    <row r="53" spans="1:13" x14ac:dyDescent="0.3">
      <c r="A53" s="35"/>
      <c r="B53" s="37"/>
      <c r="C53" s="38"/>
      <c r="D53" s="38"/>
      <c r="E53" s="38"/>
      <c r="F53" s="38"/>
      <c r="G53" s="38"/>
      <c r="H53" s="38"/>
      <c r="I53" s="38"/>
      <c r="J53" s="38"/>
      <c r="K53" s="38"/>
      <c r="L53" s="38"/>
      <c r="M53" s="39"/>
    </row>
    <row r="54" spans="1:13" x14ac:dyDescent="0.3">
      <c r="A54" s="35"/>
      <c r="B54" s="231" t="s">
        <v>92</v>
      </c>
      <c r="C54" s="231"/>
      <c r="D54" s="231"/>
      <c r="E54" s="231"/>
      <c r="F54" s="231"/>
      <c r="G54" s="231"/>
      <c r="H54" s="231"/>
      <c r="I54" s="231"/>
      <c r="J54" s="231"/>
      <c r="K54" s="231"/>
      <c r="L54" s="231"/>
      <c r="M54" s="231"/>
    </row>
    <row r="55" spans="1:13" x14ac:dyDescent="0.3">
      <c r="A55" s="35"/>
      <c r="B55" s="231"/>
      <c r="C55" s="231"/>
      <c r="D55" s="231"/>
      <c r="E55" s="231"/>
      <c r="F55" s="231"/>
      <c r="G55" s="231"/>
      <c r="H55" s="231"/>
      <c r="I55" s="231"/>
      <c r="J55" s="231"/>
      <c r="K55" s="231"/>
      <c r="L55" s="231"/>
      <c r="M55" s="231"/>
    </row>
    <row r="56" spans="1:13" x14ac:dyDescent="0.3">
      <c r="A56" s="229" t="s">
        <v>93</v>
      </c>
      <c r="B56" s="230">
        <v>2025</v>
      </c>
      <c r="C56" s="230"/>
      <c r="D56" s="230"/>
      <c r="E56" s="230"/>
      <c r="F56" s="230"/>
      <c r="G56" s="230"/>
      <c r="H56" s="230"/>
      <c r="I56" s="230"/>
      <c r="J56" s="230"/>
      <c r="K56" s="230"/>
      <c r="L56" s="230"/>
      <c r="M56" s="230"/>
    </row>
    <row r="57" spans="1:13" x14ac:dyDescent="0.3">
      <c r="A57" s="229"/>
      <c r="B57" s="230"/>
      <c r="C57" s="230"/>
      <c r="D57" s="230"/>
      <c r="E57" s="230"/>
      <c r="F57" s="230"/>
      <c r="G57" s="230"/>
      <c r="H57" s="230"/>
      <c r="I57" s="230"/>
      <c r="J57" s="230"/>
      <c r="K57" s="230"/>
      <c r="L57" s="230"/>
      <c r="M57" s="230"/>
    </row>
    <row r="58" spans="1:13" x14ac:dyDescent="0.3">
      <c r="A58" s="229"/>
      <c r="B58" s="230"/>
      <c r="C58" s="230"/>
      <c r="D58" s="230"/>
      <c r="E58" s="230"/>
      <c r="F58" s="230"/>
      <c r="G58" s="230"/>
      <c r="H58" s="230"/>
      <c r="I58" s="230"/>
      <c r="J58" s="230"/>
      <c r="K58" s="230"/>
      <c r="L58" s="230"/>
      <c r="M58" s="230"/>
    </row>
    <row r="59" spans="1:13" x14ac:dyDescent="0.3">
      <c r="A59" s="229"/>
      <c r="B59" s="50" t="s">
        <v>0</v>
      </c>
      <c r="C59" s="51" t="s">
        <v>1</v>
      </c>
      <c r="D59" s="51" t="s">
        <v>2</v>
      </c>
      <c r="E59" s="52" t="s">
        <v>3</v>
      </c>
      <c r="F59" s="51" t="s">
        <v>4</v>
      </c>
      <c r="G59" s="51" t="s">
        <v>5</v>
      </c>
      <c r="H59" s="52" t="s">
        <v>6</v>
      </c>
      <c r="I59" s="51" t="s">
        <v>7</v>
      </c>
      <c r="J59" s="53" t="s">
        <v>8</v>
      </c>
      <c r="K59" s="53" t="s">
        <v>9</v>
      </c>
      <c r="L59" s="53" t="s">
        <v>10</v>
      </c>
      <c r="M59" s="53" t="s">
        <v>11</v>
      </c>
    </row>
    <row r="60" spans="1:13" x14ac:dyDescent="0.3">
      <c r="A60" s="36" t="s">
        <v>94</v>
      </c>
      <c r="B60" s="35">
        <v>0</v>
      </c>
      <c r="C60" s="35">
        <v>0</v>
      </c>
      <c r="D60" s="35">
        <v>0</v>
      </c>
      <c r="E60" s="35">
        <v>0</v>
      </c>
      <c r="F60" s="35">
        <v>0</v>
      </c>
      <c r="G60" s="35">
        <v>0</v>
      </c>
      <c r="H60" s="35">
        <v>0</v>
      </c>
      <c r="I60" s="35">
        <v>0</v>
      </c>
      <c r="J60" s="35">
        <v>0</v>
      </c>
      <c r="K60" s="35">
        <v>0</v>
      </c>
      <c r="L60" s="35">
        <v>0</v>
      </c>
      <c r="M60" s="35">
        <v>0</v>
      </c>
    </row>
    <row r="61" spans="1:13" x14ac:dyDescent="0.3">
      <c r="A61" s="36" t="s">
        <v>104</v>
      </c>
      <c r="B61" s="54">
        <f>Resultados_Obtenidos!C46</f>
        <v>1600</v>
      </c>
      <c r="C61" s="54">
        <f>Resultados_Obtenidos!D46</f>
        <v>1600</v>
      </c>
      <c r="D61" s="54">
        <f>Resultados_Obtenidos!E46</f>
        <v>1600</v>
      </c>
      <c r="E61" s="54">
        <f>Resultados_Obtenidos!F46</f>
        <v>1600</v>
      </c>
      <c r="F61" s="54">
        <f>Resultados_Obtenidos!G46</f>
        <v>1600</v>
      </c>
      <c r="G61" s="54">
        <f>Resultados_Obtenidos!H46</f>
        <v>1600</v>
      </c>
      <c r="H61" s="54">
        <f>Resultados_Obtenidos!I46</f>
        <v>1600</v>
      </c>
      <c r="I61" s="54">
        <f>Resultados_Obtenidos!J46</f>
        <v>1600</v>
      </c>
      <c r="J61" s="54">
        <f>Resultados_Obtenidos!K46</f>
        <v>1600</v>
      </c>
      <c r="K61" s="54">
        <f>Resultados_Obtenidos!L46</f>
        <v>1600</v>
      </c>
      <c r="L61" s="54">
        <f>Resultados_Obtenidos!M46</f>
        <v>1600</v>
      </c>
      <c r="M61" s="54">
        <f>Resultados_Obtenidos!N46</f>
        <v>1600</v>
      </c>
    </row>
    <row r="62" spans="1:13" ht="16.8" x14ac:dyDescent="0.3">
      <c r="A62" s="57" t="s">
        <v>95</v>
      </c>
      <c r="B62" s="58">
        <f t="shared" ref="B62:M62" si="14">-(SUM(B60:B61))</f>
        <v>-1600</v>
      </c>
      <c r="C62" s="58">
        <f t="shared" si="14"/>
        <v>-1600</v>
      </c>
      <c r="D62" s="58">
        <f t="shared" si="14"/>
        <v>-1600</v>
      </c>
      <c r="E62" s="58">
        <f t="shared" si="14"/>
        <v>-1600</v>
      </c>
      <c r="F62" s="58">
        <f t="shared" si="14"/>
        <v>-1600</v>
      </c>
      <c r="G62" s="58">
        <f t="shared" si="14"/>
        <v>-1600</v>
      </c>
      <c r="H62" s="58">
        <f t="shared" si="14"/>
        <v>-1600</v>
      </c>
      <c r="I62" s="58">
        <f t="shared" si="14"/>
        <v>-1600</v>
      </c>
      <c r="J62" s="58">
        <f t="shared" si="14"/>
        <v>-1600</v>
      </c>
      <c r="K62" s="58">
        <f t="shared" si="14"/>
        <v>-1600</v>
      </c>
      <c r="L62" s="58">
        <f t="shared" si="14"/>
        <v>-1600</v>
      </c>
      <c r="M62" s="58">
        <f t="shared" si="14"/>
        <v>-1600</v>
      </c>
    </row>
    <row r="63" spans="1:13" ht="16.8" x14ac:dyDescent="0.3">
      <c r="A63" s="59"/>
      <c r="B63" s="60"/>
      <c r="C63" s="61"/>
      <c r="D63" s="61"/>
      <c r="E63" s="61"/>
      <c r="F63" s="61"/>
      <c r="G63" s="61"/>
      <c r="H63" s="61"/>
      <c r="I63" s="61"/>
      <c r="J63" s="61"/>
      <c r="K63" s="61"/>
      <c r="L63" s="61"/>
      <c r="M63" s="61"/>
    </row>
    <row r="64" spans="1:13" x14ac:dyDescent="0.3">
      <c r="A64" s="35"/>
      <c r="B64" s="37"/>
      <c r="C64" s="38"/>
      <c r="D64" s="38"/>
      <c r="E64" s="38"/>
      <c r="F64" s="38"/>
      <c r="G64" s="38"/>
      <c r="H64" s="38"/>
      <c r="I64" s="38"/>
      <c r="J64" s="38"/>
      <c r="K64" s="38"/>
      <c r="L64" s="38"/>
      <c r="M64" s="39"/>
    </row>
    <row r="65" spans="1:13" x14ac:dyDescent="0.3">
      <c r="A65" s="232"/>
      <c r="B65" s="231" t="s">
        <v>96</v>
      </c>
      <c r="C65" s="231"/>
      <c r="D65" s="231"/>
      <c r="E65" s="231"/>
      <c r="F65" s="231"/>
      <c r="G65" s="231"/>
      <c r="H65" s="231"/>
      <c r="I65" s="231"/>
      <c r="J65" s="231"/>
      <c r="K65" s="231"/>
      <c r="L65" s="231"/>
      <c r="M65" s="231"/>
    </row>
    <row r="66" spans="1:13" x14ac:dyDescent="0.3">
      <c r="A66" s="232"/>
      <c r="B66" s="231"/>
      <c r="C66" s="231"/>
      <c r="D66" s="231"/>
      <c r="E66" s="231"/>
      <c r="F66" s="231"/>
      <c r="G66" s="231"/>
      <c r="H66" s="231"/>
      <c r="I66" s="231"/>
      <c r="J66" s="231"/>
      <c r="K66" s="231"/>
      <c r="L66" s="231"/>
      <c r="M66" s="231"/>
    </row>
    <row r="67" spans="1:13" x14ac:dyDescent="0.3">
      <c r="A67" s="229" t="s">
        <v>93</v>
      </c>
      <c r="B67" s="230">
        <v>2025</v>
      </c>
      <c r="C67" s="230"/>
      <c r="D67" s="230"/>
      <c r="E67" s="230"/>
      <c r="F67" s="230"/>
      <c r="G67" s="230"/>
      <c r="H67" s="230"/>
      <c r="I67" s="230"/>
      <c r="J67" s="230"/>
      <c r="K67" s="230"/>
      <c r="L67" s="230"/>
      <c r="M67" s="230"/>
    </row>
    <row r="68" spans="1:13" x14ac:dyDescent="0.3">
      <c r="A68" s="229"/>
      <c r="B68" s="230"/>
      <c r="C68" s="230"/>
      <c r="D68" s="230"/>
      <c r="E68" s="230"/>
      <c r="F68" s="230"/>
      <c r="G68" s="230"/>
      <c r="H68" s="230"/>
      <c r="I68" s="230"/>
      <c r="J68" s="230"/>
      <c r="K68" s="230"/>
      <c r="L68" s="230"/>
      <c r="M68" s="230"/>
    </row>
    <row r="69" spans="1:13" x14ac:dyDescent="0.3">
      <c r="A69" s="229"/>
      <c r="B69" s="230"/>
      <c r="C69" s="230"/>
      <c r="D69" s="230"/>
      <c r="E69" s="230"/>
      <c r="F69" s="230"/>
      <c r="G69" s="230"/>
      <c r="H69" s="230"/>
      <c r="I69" s="230"/>
      <c r="J69" s="230"/>
      <c r="K69" s="230"/>
      <c r="L69" s="230"/>
      <c r="M69" s="230"/>
    </row>
    <row r="70" spans="1:13" x14ac:dyDescent="0.3">
      <c r="A70" s="229"/>
      <c r="B70" s="50" t="s">
        <v>0</v>
      </c>
      <c r="C70" s="51" t="s">
        <v>1</v>
      </c>
      <c r="D70" s="51" t="s">
        <v>2</v>
      </c>
      <c r="E70" s="52" t="s">
        <v>3</v>
      </c>
      <c r="F70" s="51" t="s">
        <v>4</v>
      </c>
      <c r="G70" s="51" t="s">
        <v>5</v>
      </c>
      <c r="H70" s="52" t="s">
        <v>6</v>
      </c>
      <c r="I70" s="51" t="s">
        <v>7</v>
      </c>
      <c r="J70" s="53" t="s">
        <v>8</v>
      </c>
      <c r="K70" s="53" t="s">
        <v>9</v>
      </c>
      <c r="L70" s="53" t="s">
        <v>10</v>
      </c>
      <c r="M70" s="53" t="s">
        <v>11</v>
      </c>
    </row>
    <row r="71" spans="1:13" x14ac:dyDescent="0.3">
      <c r="A71" s="62" t="s">
        <v>97</v>
      </c>
      <c r="B71" s="54">
        <f>B76+B77</f>
        <v>125000</v>
      </c>
      <c r="C71" s="55">
        <f t="shared" ref="C71:M71" si="15">B74</f>
        <v>64307</v>
      </c>
      <c r="D71" s="55">
        <f t="shared" si="15"/>
        <v>69984</v>
      </c>
      <c r="E71" s="55">
        <f t="shared" si="15"/>
        <v>85341</v>
      </c>
      <c r="F71" s="55">
        <f t="shared" si="15"/>
        <v>75697</v>
      </c>
      <c r="G71" s="55">
        <f t="shared" si="15"/>
        <v>100734</v>
      </c>
      <c r="H71" s="55">
        <f t="shared" si="15"/>
        <v>130611</v>
      </c>
      <c r="I71" s="55">
        <f t="shared" si="15"/>
        <v>126507</v>
      </c>
      <c r="J71" s="55">
        <f t="shared" si="15"/>
        <v>164854</v>
      </c>
      <c r="K71" s="55">
        <f t="shared" si="15"/>
        <v>189891</v>
      </c>
      <c r="L71" s="55">
        <f t="shared" si="15"/>
        <v>168697</v>
      </c>
      <c r="M71" s="56">
        <f t="shared" si="15"/>
        <v>184054</v>
      </c>
    </row>
    <row r="72" spans="1:13" x14ac:dyDescent="0.3">
      <c r="A72" s="62" t="s">
        <v>98</v>
      </c>
      <c r="B72" s="54">
        <f>B48</f>
        <v>-59093</v>
      </c>
      <c r="C72" s="54">
        <f t="shared" ref="C72:M72" si="16">C48</f>
        <v>7277</v>
      </c>
      <c r="D72" s="54">
        <f t="shared" si="16"/>
        <v>16957</v>
      </c>
      <c r="E72" s="54">
        <f t="shared" si="16"/>
        <v>-8044</v>
      </c>
      <c r="F72" s="54">
        <f t="shared" si="16"/>
        <v>26637</v>
      </c>
      <c r="G72" s="54">
        <f t="shared" si="16"/>
        <v>31477</v>
      </c>
      <c r="H72" s="54">
        <f t="shared" si="16"/>
        <v>-2504</v>
      </c>
      <c r="I72" s="54">
        <f t="shared" si="16"/>
        <v>39947</v>
      </c>
      <c r="J72" s="54">
        <f t="shared" si="16"/>
        <v>26637</v>
      </c>
      <c r="K72" s="54">
        <f t="shared" si="16"/>
        <v>-19594</v>
      </c>
      <c r="L72" s="54">
        <f t="shared" si="16"/>
        <v>16957</v>
      </c>
      <c r="M72" s="54">
        <f t="shared" si="16"/>
        <v>37451</v>
      </c>
    </row>
    <row r="73" spans="1:13" x14ac:dyDescent="0.3">
      <c r="A73" s="62" t="s">
        <v>99</v>
      </c>
      <c r="B73" s="54">
        <f t="shared" ref="B73:M73" si="17">B62</f>
        <v>-1600</v>
      </c>
      <c r="C73" s="55">
        <f t="shared" si="17"/>
        <v>-1600</v>
      </c>
      <c r="D73" s="55">
        <f t="shared" si="17"/>
        <v>-1600</v>
      </c>
      <c r="E73" s="55">
        <f t="shared" si="17"/>
        <v>-1600</v>
      </c>
      <c r="F73" s="55">
        <f t="shared" si="17"/>
        <v>-1600</v>
      </c>
      <c r="G73" s="55">
        <f t="shared" si="17"/>
        <v>-1600</v>
      </c>
      <c r="H73" s="55">
        <f t="shared" si="17"/>
        <v>-1600</v>
      </c>
      <c r="I73" s="55">
        <f t="shared" si="17"/>
        <v>-1600</v>
      </c>
      <c r="J73" s="55">
        <f t="shared" si="17"/>
        <v>-1600</v>
      </c>
      <c r="K73" s="55">
        <f t="shared" si="17"/>
        <v>-1600</v>
      </c>
      <c r="L73" s="55">
        <f t="shared" si="17"/>
        <v>-1600</v>
      </c>
      <c r="M73" s="56">
        <f t="shared" si="17"/>
        <v>-1600</v>
      </c>
    </row>
    <row r="74" spans="1:13" ht="16.8" x14ac:dyDescent="0.3">
      <c r="A74" s="57" t="s">
        <v>100</v>
      </c>
      <c r="B74" s="58">
        <f t="shared" ref="B74:M74" si="18">B71+SUM(B72:B73)</f>
        <v>64307</v>
      </c>
      <c r="C74" s="63">
        <f t="shared" si="18"/>
        <v>69984</v>
      </c>
      <c r="D74" s="63">
        <f t="shared" si="18"/>
        <v>85341</v>
      </c>
      <c r="E74" s="63">
        <f t="shared" si="18"/>
        <v>75697</v>
      </c>
      <c r="F74" s="63">
        <f t="shared" si="18"/>
        <v>100734</v>
      </c>
      <c r="G74" s="63">
        <f t="shared" si="18"/>
        <v>130611</v>
      </c>
      <c r="H74" s="63">
        <f t="shared" si="18"/>
        <v>126507</v>
      </c>
      <c r="I74" s="63">
        <f t="shared" si="18"/>
        <v>164854</v>
      </c>
      <c r="J74" s="63">
        <f t="shared" si="18"/>
        <v>189891</v>
      </c>
      <c r="K74" s="63">
        <f t="shared" si="18"/>
        <v>168697</v>
      </c>
      <c r="L74" s="63">
        <f t="shared" si="18"/>
        <v>184054</v>
      </c>
      <c r="M74" s="116">
        <f t="shared" si="18"/>
        <v>219905</v>
      </c>
    </row>
    <row r="76" spans="1:13" x14ac:dyDescent="0.3">
      <c r="A76" s="118" t="s">
        <v>133</v>
      </c>
      <c r="B76" s="119">
        <v>75000</v>
      </c>
      <c r="C76" s="117"/>
      <c r="L76" s="118" t="s">
        <v>127</v>
      </c>
      <c r="M76" s="119">
        <v>50000</v>
      </c>
    </row>
    <row r="77" spans="1:13" x14ac:dyDescent="0.3">
      <c r="A77" s="120" t="s">
        <v>134</v>
      </c>
      <c r="B77" s="121">
        <v>50000</v>
      </c>
      <c r="L77" s="120" t="s">
        <v>128</v>
      </c>
      <c r="M77" s="121">
        <f>M74-M76</f>
        <v>169905</v>
      </c>
    </row>
    <row r="78" spans="1:13" x14ac:dyDescent="0.3">
      <c r="L78" s="8" t="s">
        <v>129</v>
      </c>
    </row>
    <row r="79" spans="1:13" x14ac:dyDescent="0.3">
      <c r="B79" s="117">
        <f>B71+B45</f>
        <v>229060</v>
      </c>
    </row>
  </sheetData>
  <mergeCells count="10">
    <mergeCell ref="B1:M1"/>
    <mergeCell ref="B44:M44"/>
    <mergeCell ref="B37:M38"/>
    <mergeCell ref="A67:A70"/>
    <mergeCell ref="B67:M69"/>
    <mergeCell ref="B54:M55"/>
    <mergeCell ref="A56:A59"/>
    <mergeCell ref="B56:M58"/>
    <mergeCell ref="A65:A66"/>
    <mergeCell ref="B65:M6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D7A6-5CAB-4CC0-83F8-A6D2B92B6D0F}">
  <dimension ref="B4:Y49"/>
  <sheetViews>
    <sheetView zoomScale="94" zoomScaleNormal="94" workbookViewId="0">
      <selection activeCell="F21" sqref="F21"/>
    </sheetView>
  </sheetViews>
  <sheetFormatPr baseColWidth="10" defaultColWidth="11.44140625" defaultRowHeight="14.4" outlineLevelRow="1" x14ac:dyDescent="0.3"/>
  <cols>
    <col min="1" max="1" width="11.44140625" style="8"/>
    <col min="2" max="2" width="31.109375" style="8" customWidth="1"/>
    <col min="3" max="4" width="13.5546875" style="8" bestFit="1" customWidth="1"/>
    <col min="5" max="5" width="13.5546875" style="8" customWidth="1"/>
    <col min="6" max="9" width="11.44140625" style="8"/>
    <col min="10" max="10" width="6.5546875" style="8" customWidth="1"/>
    <col min="11" max="16384" width="11.44140625" style="8"/>
  </cols>
  <sheetData>
    <row r="4" spans="2:25" x14ac:dyDescent="0.3">
      <c r="B4" s="11"/>
      <c r="C4" s="11">
        <v>2025</v>
      </c>
      <c r="D4" s="11">
        <v>2026</v>
      </c>
    </row>
    <row r="5" spans="2:25" x14ac:dyDescent="0.3">
      <c r="B5" s="12" t="s">
        <v>13</v>
      </c>
      <c r="C5" s="13">
        <f>SUM(C6:C9)</f>
        <v>1197000</v>
      </c>
      <c r="D5" s="13">
        <f>'PRESUPUESTO 2026'!O3</f>
        <v>1316700</v>
      </c>
      <c r="Y5" s="25">
        <f>D5*1.21</f>
        <v>1593207</v>
      </c>
    </row>
    <row r="6" spans="2:25" outlineLevel="1" x14ac:dyDescent="0.3">
      <c r="B6" s="9" t="s">
        <v>80</v>
      </c>
      <c r="C6" s="10">
        <f>Resultados_Obtenidos!O4</f>
        <v>711000</v>
      </c>
      <c r="D6" s="10">
        <f>'PRESUPUESTO 2026'!O4</f>
        <v>782100</v>
      </c>
      <c r="F6" s="168" t="s">
        <v>145</v>
      </c>
      <c r="G6" s="169"/>
      <c r="H6" s="169"/>
      <c r="I6" s="169"/>
      <c r="J6" s="170"/>
      <c r="L6" s="8" t="s">
        <v>146</v>
      </c>
    </row>
    <row r="7" spans="2:25" outlineLevel="1" x14ac:dyDescent="0.3">
      <c r="B7" s="9" t="s">
        <v>73</v>
      </c>
      <c r="C7" s="10">
        <f>Resultados_Obtenidos!O5</f>
        <v>9600</v>
      </c>
      <c r="D7" s="10">
        <f>'PRESUPUESTO 2026'!O5</f>
        <v>10560.000000000002</v>
      </c>
      <c r="F7" s="233" t="s">
        <v>143</v>
      </c>
      <c r="G7" s="234"/>
      <c r="H7" s="234"/>
      <c r="I7" s="234"/>
      <c r="J7" s="165">
        <v>0.1</v>
      </c>
      <c r="L7" s="8" t="s">
        <v>147</v>
      </c>
    </row>
    <row r="8" spans="2:25" outlineLevel="1" x14ac:dyDescent="0.3">
      <c r="B8" s="9" t="s">
        <v>74</v>
      </c>
      <c r="C8" s="10">
        <f>Resultados_Obtenidos!O6</f>
        <v>474000</v>
      </c>
      <c r="D8" s="10">
        <f>'PRESUPUESTO 2026'!O6</f>
        <v>521400</v>
      </c>
      <c r="F8" s="235" t="s">
        <v>144</v>
      </c>
      <c r="G8" s="236"/>
      <c r="H8" s="236"/>
      <c r="I8" s="236"/>
      <c r="J8" s="166"/>
      <c r="L8" s="8" t="s">
        <v>148</v>
      </c>
    </row>
    <row r="9" spans="2:25" outlineLevel="1" x14ac:dyDescent="0.3">
      <c r="B9" s="9" t="s">
        <v>75</v>
      </c>
      <c r="C9" s="10">
        <f>Resultados_Obtenidos!O7</f>
        <v>2400</v>
      </c>
      <c r="D9" s="10">
        <f>'PRESUPUESTO 2026'!O7</f>
        <v>2640.0000000000005</v>
      </c>
      <c r="F9" s="237"/>
      <c r="G9" s="238"/>
      <c r="H9" s="238"/>
      <c r="I9" s="238"/>
      <c r="J9" s="167">
        <v>0.05</v>
      </c>
      <c r="L9" s="8" t="s">
        <v>149</v>
      </c>
    </row>
    <row r="10" spans="2:25" x14ac:dyDescent="0.3">
      <c r="B10" s="12" t="s">
        <v>14</v>
      </c>
      <c r="C10" s="13">
        <f>SUM(C11:C15)</f>
        <v>332270</v>
      </c>
      <c r="D10" s="13">
        <f t="shared" ref="D10" si="0">SUM(D11:D15)</f>
        <v>348883.5</v>
      </c>
      <c r="F10" s="25"/>
      <c r="L10" s="8" t="s">
        <v>150</v>
      </c>
    </row>
    <row r="11" spans="2:25" outlineLevel="1" x14ac:dyDescent="0.3">
      <c r="B11" s="9" t="s">
        <v>15</v>
      </c>
      <c r="C11" s="10">
        <f>Resultados_Obtenidos!O9</f>
        <v>24000</v>
      </c>
      <c r="D11" s="10">
        <f>'PRESUPUESTO 2026'!O9</f>
        <v>25200</v>
      </c>
      <c r="F11" s="25"/>
    </row>
    <row r="12" spans="2:25" outlineLevel="1" x14ac:dyDescent="0.3">
      <c r="B12" s="9" t="s">
        <v>76</v>
      </c>
      <c r="C12" s="10">
        <f>Resultados_Obtenidos!O10</f>
        <v>156420</v>
      </c>
      <c r="D12" s="10">
        <f>'PRESUPUESTO 2026'!O10</f>
        <v>164241</v>
      </c>
      <c r="F12" s="25"/>
    </row>
    <row r="13" spans="2:25" outlineLevel="1" x14ac:dyDescent="0.3">
      <c r="B13" s="9" t="s">
        <v>77</v>
      </c>
      <c r="C13" s="10">
        <f>Resultados_Obtenidos!O11</f>
        <v>94800</v>
      </c>
      <c r="D13" s="10">
        <f>'PRESUPUESTO 2026'!O11</f>
        <v>99540</v>
      </c>
      <c r="F13" s="25"/>
    </row>
    <row r="14" spans="2:25" outlineLevel="1" x14ac:dyDescent="0.3">
      <c r="B14" s="9" t="s">
        <v>78</v>
      </c>
      <c r="C14" s="10">
        <f>Resultados_Obtenidos!O12</f>
        <v>23700</v>
      </c>
      <c r="D14" s="10">
        <f>'PRESUPUESTO 2026'!O12</f>
        <v>24885</v>
      </c>
      <c r="F14" s="25"/>
    </row>
    <row r="15" spans="2:25" outlineLevel="1" x14ac:dyDescent="0.3">
      <c r="B15" s="9" t="s">
        <v>79</v>
      </c>
      <c r="C15" s="10">
        <f>Resultados_Obtenidos!O13</f>
        <v>33350</v>
      </c>
      <c r="D15" s="10">
        <f>'PRESUPUESTO 2026'!O13</f>
        <v>35017.5</v>
      </c>
      <c r="F15" s="25"/>
    </row>
    <row r="16" spans="2:25" x14ac:dyDescent="0.3">
      <c r="B16" s="14" t="s">
        <v>16</v>
      </c>
      <c r="C16" s="15">
        <f>C5-C10</f>
        <v>864730</v>
      </c>
      <c r="D16" s="15">
        <f t="shared" ref="D16" si="1">D5-D10</f>
        <v>967816.5</v>
      </c>
      <c r="F16" s="25"/>
    </row>
    <row r="17" spans="2:6" x14ac:dyDescent="0.3">
      <c r="B17" s="16" t="s">
        <v>17</v>
      </c>
      <c r="C17" s="17">
        <f>SUM(C18:C20)</f>
        <v>455400</v>
      </c>
      <c r="D17" s="17">
        <f>'PRESUPUESTO 2026'!O15</f>
        <v>478170</v>
      </c>
      <c r="F17" s="25"/>
    </row>
    <row r="18" spans="2:6" outlineLevel="1" x14ac:dyDescent="0.3">
      <c r="B18" s="9" t="s">
        <v>18</v>
      </c>
      <c r="C18" s="10">
        <f>Resultados_Obtenidos!O16</f>
        <v>109200</v>
      </c>
      <c r="D18" s="10">
        <f>'PRESUPUESTO 2026'!O16</f>
        <v>114660</v>
      </c>
      <c r="F18" s="25"/>
    </row>
    <row r="19" spans="2:6" outlineLevel="1" x14ac:dyDescent="0.3">
      <c r="B19" s="9" t="s">
        <v>19</v>
      </c>
      <c r="C19" s="10">
        <f>Resultados_Obtenidos!O17</f>
        <v>340000</v>
      </c>
      <c r="D19" s="10">
        <f>'PRESUPUESTO 2026'!O17</f>
        <v>357000</v>
      </c>
      <c r="F19" s="25"/>
    </row>
    <row r="20" spans="2:6" outlineLevel="1" x14ac:dyDescent="0.3">
      <c r="B20" s="9" t="s">
        <v>20</v>
      </c>
      <c r="C20" s="10">
        <f>Resultados_Obtenidos!O18</f>
        <v>6200</v>
      </c>
      <c r="D20" s="10">
        <f>'PRESUPUESTO 2026'!O18</f>
        <v>6510</v>
      </c>
      <c r="F20" s="25"/>
    </row>
    <row r="21" spans="2:6" x14ac:dyDescent="0.3">
      <c r="B21" s="18" t="s">
        <v>21</v>
      </c>
      <c r="C21" s="19">
        <f>SUM(C22:C27)</f>
        <v>138000</v>
      </c>
      <c r="D21" s="19">
        <f>'PRESUPUESTO 2026'!O19</f>
        <v>144900</v>
      </c>
      <c r="F21" s="25"/>
    </row>
    <row r="22" spans="2:6" outlineLevel="1" x14ac:dyDescent="0.3">
      <c r="B22" s="9" t="str">
        <f>Resultados_Obtenidos!B20</f>
        <v>Alquileres</v>
      </c>
      <c r="C22" s="10">
        <f>Resultados_Obtenidos!O20</f>
        <v>78000</v>
      </c>
      <c r="D22" s="10">
        <f>'PRESUPUESTO 2026'!O20</f>
        <v>81900</v>
      </c>
      <c r="F22" s="25"/>
    </row>
    <row r="23" spans="2:6" outlineLevel="1" x14ac:dyDescent="0.3">
      <c r="B23" s="9" t="s">
        <v>22</v>
      </c>
      <c r="C23" s="10">
        <f>Resultados_Obtenidos!O21</f>
        <v>14400</v>
      </c>
      <c r="D23" s="10">
        <f>'PRESUPUESTO 2026'!O21</f>
        <v>15120</v>
      </c>
      <c r="F23" s="25"/>
    </row>
    <row r="24" spans="2:6" outlineLevel="1" x14ac:dyDescent="0.3">
      <c r="B24" s="9" t="s">
        <v>23</v>
      </c>
      <c r="C24" s="10">
        <f>Resultados_Obtenidos!O22</f>
        <v>10800</v>
      </c>
      <c r="D24" s="10">
        <f>'PRESUPUESTO 2026'!O22</f>
        <v>11340</v>
      </c>
      <c r="F24" s="25"/>
    </row>
    <row r="25" spans="2:6" outlineLevel="1" x14ac:dyDescent="0.3">
      <c r="B25" s="9" t="s">
        <v>24</v>
      </c>
      <c r="C25" s="10">
        <f>Resultados_Obtenidos!O23</f>
        <v>5400</v>
      </c>
      <c r="D25" s="10">
        <f>'PRESUPUESTO 2026'!O23</f>
        <v>5670</v>
      </c>
    </row>
    <row r="26" spans="2:6" outlineLevel="1" x14ac:dyDescent="0.3">
      <c r="B26" s="9" t="s">
        <v>25</v>
      </c>
      <c r="C26" s="10">
        <f>Resultados_Obtenidos!O24</f>
        <v>3000</v>
      </c>
      <c r="D26" s="10">
        <f>'PRESUPUESTO 2026'!O24</f>
        <v>3150</v>
      </c>
    </row>
    <row r="27" spans="2:6" outlineLevel="1" x14ac:dyDescent="0.3">
      <c r="B27" s="9" t="s">
        <v>26</v>
      </c>
      <c r="C27" s="10">
        <f>Resultados_Obtenidos!O25</f>
        <v>26400</v>
      </c>
      <c r="D27" s="10">
        <f>'PRESUPUESTO 2026'!O25</f>
        <v>27720</v>
      </c>
    </row>
    <row r="28" spans="2:6" x14ac:dyDescent="0.3">
      <c r="B28" s="20" t="s">
        <v>27</v>
      </c>
      <c r="C28" s="21">
        <f>SUM(C29:C34)</f>
        <v>78210</v>
      </c>
      <c r="D28" s="21">
        <f>'PRESUPUESTO 2026'!O26</f>
        <v>82120.5</v>
      </c>
    </row>
    <row r="29" spans="2:6" outlineLevel="1" x14ac:dyDescent="0.3">
      <c r="B29" s="9" t="s">
        <v>28</v>
      </c>
      <c r="C29" s="10">
        <f>Resultados_Obtenidos!O27</f>
        <v>4800</v>
      </c>
      <c r="D29" s="10">
        <f>'PRESUPUESTO 2026'!O27</f>
        <v>5040</v>
      </c>
    </row>
    <row r="30" spans="2:6" outlineLevel="1" x14ac:dyDescent="0.3">
      <c r="B30" s="9" t="s">
        <v>29</v>
      </c>
      <c r="C30" s="10">
        <f>Resultados_Obtenidos!O28</f>
        <v>2640</v>
      </c>
      <c r="D30" s="10">
        <f>'PRESUPUESTO 2026'!O28</f>
        <v>2772</v>
      </c>
    </row>
    <row r="31" spans="2:6" outlineLevel="1" x14ac:dyDescent="0.3">
      <c r="B31" s="9" t="s">
        <v>30</v>
      </c>
      <c r="C31" s="10">
        <f>Resultados_Obtenidos!O29</f>
        <v>38250</v>
      </c>
      <c r="D31" s="10">
        <f>'PRESUPUESTO 2026'!O29</f>
        <v>40162.5</v>
      </c>
    </row>
    <row r="32" spans="2:6" outlineLevel="1" x14ac:dyDescent="0.3">
      <c r="B32" s="9" t="s">
        <v>31</v>
      </c>
      <c r="C32" s="10">
        <f>Resultados_Obtenidos!O30</f>
        <v>26400</v>
      </c>
      <c r="D32" s="10">
        <f>'PRESUPUESTO 2026'!O30</f>
        <v>27720</v>
      </c>
    </row>
    <row r="33" spans="2:4" outlineLevel="1" x14ac:dyDescent="0.3">
      <c r="B33" s="9" t="s">
        <v>32</v>
      </c>
      <c r="C33" s="10">
        <f>Resultados_Obtenidos!O31</f>
        <v>4200</v>
      </c>
      <c r="D33" s="10">
        <f>'PRESUPUESTO 2026'!O31</f>
        <v>4410</v>
      </c>
    </row>
    <row r="34" spans="2:4" outlineLevel="1" x14ac:dyDescent="0.3">
      <c r="B34" s="9" t="s">
        <v>33</v>
      </c>
      <c r="C34" s="10">
        <f>Resultados_Obtenidos!O32</f>
        <v>1920</v>
      </c>
      <c r="D34" s="10">
        <f>'PRESUPUESTO 2026'!O32</f>
        <v>2016</v>
      </c>
    </row>
    <row r="35" spans="2:4" x14ac:dyDescent="0.3">
      <c r="B35" s="20" t="s">
        <v>34</v>
      </c>
      <c r="C35" s="21">
        <f>SUM(C36:C45)</f>
        <v>46920</v>
      </c>
      <c r="D35" s="21">
        <f>'PRESUPUESTO 2026'!O33</f>
        <v>49266</v>
      </c>
    </row>
    <row r="36" spans="2:4" outlineLevel="1" x14ac:dyDescent="0.3">
      <c r="B36" s="9" t="s">
        <v>35</v>
      </c>
      <c r="C36" s="10">
        <f>Resultados_Obtenidos!O34</f>
        <v>10800</v>
      </c>
      <c r="D36" s="10">
        <f>'PRESUPUESTO 2026'!O34</f>
        <v>11340</v>
      </c>
    </row>
    <row r="37" spans="2:4" outlineLevel="1" x14ac:dyDescent="0.3">
      <c r="B37" s="9" t="s">
        <v>36</v>
      </c>
      <c r="C37" s="10">
        <f>Resultados_Obtenidos!O35</f>
        <v>3000</v>
      </c>
      <c r="D37" s="10">
        <f>'PRESUPUESTO 2026'!O35</f>
        <v>3150</v>
      </c>
    </row>
    <row r="38" spans="2:4" outlineLevel="1" x14ac:dyDescent="0.3">
      <c r="B38" s="9" t="s">
        <v>37</v>
      </c>
      <c r="C38" s="10">
        <f>Resultados_Obtenidos!O36</f>
        <v>4200</v>
      </c>
      <c r="D38" s="10">
        <f>'PRESUPUESTO 2026'!O36</f>
        <v>4410</v>
      </c>
    </row>
    <row r="39" spans="2:4" outlineLevel="1" x14ac:dyDescent="0.3">
      <c r="B39" s="9" t="s">
        <v>38</v>
      </c>
      <c r="C39" s="10">
        <f>Resultados_Obtenidos!O37</f>
        <v>720</v>
      </c>
      <c r="D39" s="10">
        <f>'PRESUPUESTO 2026'!O37</f>
        <v>756</v>
      </c>
    </row>
    <row r="40" spans="2:4" outlineLevel="1" x14ac:dyDescent="0.3">
      <c r="B40" s="9" t="s">
        <v>39</v>
      </c>
      <c r="C40" s="10">
        <f>Resultados_Obtenidos!O38</f>
        <v>480</v>
      </c>
      <c r="D40" s="10">
        <f>'PRESUPUESTO 2026'!O38</f>
        <v>504</v>
      </c>
    </row>
    <row r="41" spans="2:4" outlineLevel="1" x14ac:dyDescent="0.3">
      <c r="B41" s="9" t="s">
        <v>40</v>
      </c>
      <c r="C41" s="10">
        <f>Resultados_Obtenidos!O39</f>
        <v>14400</v>
      </c>
      <c r="D41" s="10">
        <f>'PRESUPUESTO 2026'!O39</f>
        <v>15120</v>
      </c>
    </row>
    <row r="42" spans="2:4" outlineLevel="1" x14ac:dyDescent="0.3">
      <c r="B42" s="9" t="s">
        <v>41</v>
      </c>
      <c r="C42" s="10">
        <f>Resultados_Obtenidos!O40</f>
        <v>4800</v>
      </c>
      <c r="D42" s="10">
        <f>'PRESUPUESTO 2026'!O40</f>
        <v>5040</v>
      </c>
    </row>
    <row r="43" spans="2:4" outlineLevel="1" x14ac:dyDescent="0.3">
      <c r="B43" s="9" t="s">
        <v>42</v>
      </c>
      <c r="C43" s="10">
        <f>Resultados_Obtenidos!O41</f>
        <v>360</v>
      </c>
      <c r="D43" s="10">
        <f>'PRESUPUESTO 2026'!O41</f>
        <v>378</v>
      </c>
    </row>
    <row r="44" spans="2:4" outlineLevel="1" x14ac:dyDescent="0.3">
      <c r="B44" s="9" t="s">
        <v>43</v>
      </c>
      <c r="C44" s="10">
        <f>Resultados_Obtenidos!O42</f>
        <v>7800</v>
      </c>
      <c r="D44" s="10">
        <f>'PRESUPUESTO 2026'!O42</f>
        <v>8190</v>
      </c>
    </row>
    <row r="45" spans="2:4" outlineLevel="1" x14ac:dyDescent="0.3">
      <c r="B45" s="9" t="s">
        <v>44</v>
      </c>
      <c r="C45" s="10">
        <f>Resultados_Obtenidos!O43</f>
        <v>360</v>
      </c>
      <c r="D45" s="10">
        <f>'PRESUPUESTO 2026'!O43</f>
        <v>378</v>
      </c>
    </row>
    <row r="46" spans="2:4" x14ac:dyDescent="0.3">
      <c r="B46" s="22" t="s">
        <v>45</v>
      </c>
      <c r="C46" s="23">
        <f>Resultados_Obtenidos!O44</f>
        <v>30000</v>
      </c>
      <c r="D46" s="23">
        <f>'PRESUPUESTO 2026'!O44</f>
        <v>30000</v>
      </c>
    </row>
    <row r="47" spans="2:4" x14ac:dyDescent="0.3">
      <c r="B47" s="12" t="s">
        <v>46</v>
      </c>
      <c r="C47" s="13">
        <f>C16-C17-C21-C28-C35-C46</f>
        <v>116200</v>
      </c>
      <c r="D47" s="13">
        <f>'PRESUPUESTO 2026'!O45</f>
        <v>183360</v>
      </c>
    </row>
    <row r="48" spans="2:4" x14ac:dyDescent="0.3">
      <c r="B48" s="26" t="s">
        <v>47</v>
      </c>
      <c r="C48" s="27">
        <f>Resultados_Obtenidos!O46</f>
        <v>19200</v>
      </c>
      <c r="D48" s="27">
        <f>'PRESUPUESTO 2026'!O46</f>
        <v>19200</v>
      </c>
    </row>
    <row r="49" spans="2:4" x14ac:dyDescent="0.3">
      <c r="B49" s="12" t="s">
        <v>48</v>
      </c>
      <c r="C49" s="13">
        <f>C47-C48</f>
        <v>97000</v>
      </c>
      <c r="D49" s="13">
        <f>'PRESUPUESTO 2026'!O47</f>
        <v>164160</v>
      </c>
    </row>
  </sheetData>
  <mergeCells count="2">
    <mergeCell ref="F7:I7"/>
    <mergeCell ref="F8:I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802FB-32F1-4359-ACB0-E5D778B6B240}">
  <dimension ref="B1:P49"/>
  <sheetViews>
    <sheetView workbookViewId="0">
      <pane xSplit="2" ySplit="2" topLeftCell="C3" activePane="bottomRight" state="frozen"/>
      <selection pane="topRight"/>
      <selection pane="bottomLeft"/>
      <selection pane="bottomRight" activeCell="B4" sqref="B4:B6"/>
    </sheetView>
  </sheetViews>
  <sheetFormatPr baseColWidth="10" defaultColWidth="9.109375" defaultRowHeight="14.4" x14ac:dyDescent="0.3"/>
  <cols>
    <col min="1" max="1" width="3.21875" style="8" customWidth="1"/>
    <col min="2" max="2" width="55" style="8" customWidth="1"/>
    <col min="3" max="15" width="14" style="8" customWidth="1"/>
    <col min="16" max="16" width="10.5546875" style="8" bestFit="1" customWidth="1"/>
    <col min="17" max="16384" width="9.109375" style="8"/>
  </cols>
  <sheetData>
    <row r="1" spans="2:16" ht="21.9" customHeight="1" x14ac:dyDescent="0.3">
      <c r="B1" s="224" t="s">
        <v>151</v>
      </c>
      <c r="C1" s="224"/>
      <c r="D1" s="224"/>
      <c r="E1" s="224"/>
      <c r="F1" s="224"/>
      <c r="G1" s="224"/>
      <c r="H1" s="224"/>
      <c r="I1" s="224"/>
      <c r="J1" s="224"/>
      <c r="K1" s="224"/>
      <c r="L1" s="224"/>
      <c r="M1" s="224"/>
      <c r="N1" s="224"/>
      <c r="O1" s="224"/>
    </row>
    <row r="2" spans="2:16" ht="18" customHeight="1" x14ac:dyDescent="0.3">
      <c r="B2" s="11"/>
      <c r="C2" s="11" t="s">
        <v>0</v>
      </c>
      <c r="D2" s="11" t="s">
        <v>1</v>
      </c>
      <c r="E2" s="11" t="s">
        <v>2</v>
      </c>
      <c r="F2" s="11" t="s">
        <v>3</v>
      </c>
      <c r="G2" s="11" t="s">
        <v>4</v>
      </c>
      <c r="H2" s="11" t="s">
        <v>5</v>
      </c>
      <c r="I2" s="11" t="s">
        <v>6</v>
      </c>
      <c r="J2" s="11" t="s">
        <v>7</v>
      </c>
      <c r="K2" s="11" t="s">
        <v>8</v>
      </c>
      <c r="L2" s="11" t="s">
        <v>9</v>
      </c>
      <c r="M2" s="11" t="s">
        <v>10</v>
      </c>
      <c r="N2" s="11" t="s">
        <v>11</v>
      </c>
      <c r="O2" s="11" t="s">
        <v>12</v>
      </c>
    </row>
    <row r="3" spans="2:16" x14ac:dyDescent="0.3">
      <c r="B3" s="12" t="s">
        <v>13</v>
      </c>
      <c r="C3" s="13">
        <f>SUM(C4:C7)</f>
        <v>94600</v>
      </c>
      <c r="D3" s="13">
        <f t="shared" ref="D3" si="0">SUM(D4:D7)</f>
        <v>89100</v>
      </c>
      <c r="E3" s="13">
        <f t="shared" ref="E3" si="1">SUM(E4:E7)</f>
        <v>100100</v>
      </c>
      <c r="F3" s="13">
        <f t="shared" ref="F3" si="2">SUM(F4:F7)</f>
        <v>105600</v>
      </c>
      <c r="G3" s="13">
        <f t="shared" ref="G3" si="3">SUM(G4:G7)</f>
        <v>111100</v>
      </c>
      <c r="H3" s="13">
        <f t="shared" ref="H3" si="4">SUM(H4:H7)</f>
        <v>116600</v>
      </c>
      <c r="I3" s="13">
        <f t="shared" ref="I3" si="5">SUM(I4:I7)</f>
        <v>122100</v>
      </c>
      <c r="J3" s="13">
        <f t="shared" ref="J3" si="6">SUM(J4:J7)</f>
        <v>127600</v>
      </c>
      <c r="K3" s="13">
        <f t="shared" ref="K3" si="7">SUM(K4:K7)</f>
        <v>111100</v>
      </c>
      <c r="L3" s="13">
        <f t="shared" ref="L3" si="8">SUM(L4:L7)</f>
        <v>105600</v>
      </c>
      <c r="M3" s="13">
        <f t="shared" ref="M3" si="9">SUM(M4:M7)</f>
        <v>100100</v>
      </c>
      <c r="N3" s="13">
        <f t="shared" ref="N3" si="10">SUM(N4:N7)</f>
        <v>133100</v>
      </c>
      <c r="O3" s="13">
        <f>SUM(O4:O7)</f>
        <v>1316700</v>
      </c>
      <c r="P3" s="33"/>
    </row>
    <row r="4" spans="2:16" x14ac:dyDescent="0.3">
      <c r="B4" s="9" t="s">
        <v>80</v>
      </c>
      <c r="C4" s="10">
        <f>Resultados_Obtenidos!C4*(1+'Proyeccion esperada'!$J$7)</f>
        <v>56100.000000000007</v>
      </c>
      <c r="D4" s="10">
        <f>Resultados_Obtenidos!D4*(1+'Proyeccion esperada'!$J$7)</f>
        <v>52800.000000000007</v>
      </c>
      <c r="E4" s="10">
        <f>Resultados_Obtenidos!E4*(1+'Proyeccion esperada'!$J$7)</f>
        <v>59400.000000000007</v>
      </c>
      <c r="F4" s="10">
        <f>Resultados_Obtenidos!F4*(1+'Proyeccion esperada'!$J$7)</f>
        <v>62700.000000000007</v>
      </c>
      <c r="G4" s="10">
        <f>Resultados_Obtenidos!G4*(1+'Proyeccion esperada'!$J$7)</f>
        <v>66000</v>
      </c>
      <c r="H4" s="10">
        <f>Resultados_Obtenidos!H4*(1+'Proyeccion esperada'!$J$7)</f>
        <v>69300</v>
      </c>
      <c r="I4" s="10">
        <f>Resultados_Obtenidos!I4*(1+'Proyeccion esperada'!$J$7)</f>
        <v>72600</v>
      </c>
      <c r="J4" s="10">
        <f>Resultados_Obtenidos!J4*(1+'Proyeccion esperada'!$J$7)</f>
        <v>75900</v>
      </c>
      <c r="K4" s="10">
        <f>Resultados_Obtenidos!K4*(1+'Proyeccion esperada'!$J$7)</f>
        <v>66000</v>
      </c>
      <c r="L4" s="10">
        <f>Resultados_Obtenidos!L4*(1+'Proyeccion esperada'!$J$7)</f>
        <v>62700.000000000007</v>
      </c>
      <c r="M4" s="10">
        <f>Resultados_Obtenidos!M4*(1+'Proyeccion esperada'!$J$7)</f>
        <v>59400.000000000007</v>
      </c>
      <c r="N4" s="10">
        <f>Resultados_Obtenidos!N4*(1+'Proyeccion esperada'!$J$7)</f>
        <v>79200</v>
      </c>
      <c r="O4" s="10">
        <f>SUM(C4:N4)</f>
        <v>782100</v>
      </c>
      <c r="P4" s="33"/>
    </row>
    <row r="5" spans="2:16" x14ac:dyDescent="0.3">
      <c r="B5" s="9" t="s">
        <v>73</v>
      </c>
      <c r="C5" s="10">
        <f>Resultados_Obtenidos!C5*(1+'Proyeccion esperada'!$J$7)</f>
        <v>880.00000000000011</v>
      </c>
      <c r="D5" s="10">
        <f>Resultados_Obtenidos!D5*(1+'Proyeccion esperada'!$J$7)</f>
        <v>880.00000000000011</v>
      </c>
      <c r="E5" s="10">
        <f>Resultados_Obtenidos!E5*(1+'Proyeccion esperada'!$J$7)</f>
        <v>880.00000000000011</v>
      </c>
      <c r="F5" s="10">
        <f>Resultados_Obtenidos!F5*(1+'Proyeccion esperada'!$J$7)</f>
        <v>880.00000000000011</v>
      </c>
      <c r="G5" s="10">
        <f>Resultados_Obtenidos!G5*(1+'Proyeccion esperada'!$J$7)</f>
        <v>880.00000000000011</v>
      </c>
      <c r="H5" s="10">
        <f>Resultados_Obtenidos!H5*(1+'Proyeccion esperada'!$J$7)</f>
        <v>880.00000000000011</v>
      </c>
      <c r="I5" s="10">
        <f>Resultados_Obtenidos!I5*(1+'Proyeccion esperada'!$J$7)</f>
        <v>880.00000000000011</v>
      </c>
      <c r="J5" s="10">
        <f>Resultados_Obtenidos!J5*(1+'Proyeccion esperada'!$J$7)</f>
        <v>880.00000000000011</v>
      </c>
      <c r="K5" s="10">
        <f>Resultados_Obtenidos!K5*(1+'Proyeccion esperada'!$J$7)</f>
        <v>880.00000000000011</v>
      </c>
      <c r="L5" s="10">
        <f>Resultados_Obtenidos!L5*(1+'Proyeccion esperada'!$J$7)</f>
        <v>880.00000000000011</v>
      </c>
      <c r="M5" s="10">
        <f>Resultados_Obtenidos!M5*(1+'Proyeccion esperada'!$J$7)</f>
        <v>880.00000000000011</v>
      </c>
      <c r="N5" s="10">
        <f>Resultados_Obtenidos!N5*(1+'Proyeccion esperada'!$J$7)</f>
        <v>880.00000000000011</v>
      </c>
      <c r="O5" s="10">
        <f t="shared" ref="O5:O46" si="11">SUM(C5:N5)</f>
        <v>10560.000000000002</v>
      </c>
      <c r="P5" s="33"/>
    </row>
    <row r="6" spans="2:16" x14ac:dyDescent="0.3">
      <c r="B6" s="9" t="s">
        <v>74</v>
      </c>
      <c r="C6" s="10">
        <f>Resultados_Obtenidos!C6*(1+'Proyeccion esperada'!$J$7)</f>
        <v>37400</v>
      </c>
      <c r="D6" s="10">
        <f>Resultados_Obtenidos!D6*(1+'Proyeccion esperada'!$J$7)</f>
        <v>35200</v>
      </c>
      <c r="E6" s="10">
        <f>Resultados_Obtenidos!E6*(1+'Proyeccion esperada'!$J$7)</f>
        <v>39600</v>
      </c>
      <c r="F6" s="10">
        <f>Resultados_Obtenidos!F6*(1+'Proyeccion esperada'!$J$7)</f>
        <v>41800</v>
      </c>
      <c r="G6" s="10">
        <f>Resultados_Obtenidos!G6*(1+'Proyeccion esperada'!$J$7)</f>
        <v>44000</v>
      </c>
      <c r="H6" s="10">
        <f>Resultados_Obtenidos!H6*(1+'Proyeccion esperada'!$J$7)</f>
        <v>46200.000000000007</v>
      </c>
      <c r="I6" s="10">
        <f>Resultados_Obtenidos!I6*(1+'Proyeccion esperada'!$J$7)</f>
        <v>48400.000000000007</v>
      </c>
      <c r="J6" s="10">
        <f>Resultados_Obtenidos!J6*(1+'Proyeccion esperada'!$J$7)</f>
        <v>50600.000000000007</v>
      </c>
      <c r="K6" s="10">
        <f>Resultados_Obtenidos!K6*(1+'Proyeccion esperada'!$J$7)</f>
        <v>44000</v>
      </c>
      <c r="L6" s="10">
        <f>Resultados_Obtenidos!L6*(1+'Proyeccion esperada'!$J$7)</f>
        <v>41800</v>
      </c>
      <c r="M6" s="10">
        <f>Resultados_Obtenidos!M6*(1+'Proyeccion esperada'!$J$7)</f>
        <v>39600</v>
      </c>
      <c r="N6" s="10">
        <f>Resultados_Obtenidos!N6*(1+'Proyeccion esperada'!$J$7)</f>
        <v>52800.000000000007</v>
      </c>
      <c r="O6" s="10">
        <f t="shared" si="11"/>
        <v>521400</v>
      </c>
      <c r="P6" s="33"/>
    </row>
    <row r="7" spans="2:16" x14ac:dyDescent="0.3">
      <c r="B7" s="9" t="s">
        <v>75</v>
      </c>
      <c r="C7" s="10">
        <f>Resultados_Obtenidos!C7*(1+'Proyeccion esperada'!$J$7)</f>
        <v>220.00000000000003</v>
      </c>
      <c r="D7" s="10">
        <f>Resultados_Obtenidos!D7*(1+'Proyeccion esperada'!$J$7)</f>
        <v>220.00000000000003</v>
      </c>
      <c r="E7" s="10">
        <f>Resultados_Obtenidos!E7*(1+'Proyeccion esperada'!$J$7)</f>
        <v>220.00000000000003</v>
      </c>
      <c r="F7" s="10">
        <f>Resultados_Obtenidos!F7*(1+'Proyeccion esperada'!$J$7)</f>
        <v>220.00000000000003</v>
      </c>
      <c r="G7" s="10">
        <f>Resultados_Obtenidos!G7*(1+'Proyeccion esperada'!$J$7)</f>
        <v>220.00000000000003</v>
      </c>
      <c r="H7" s="10">
        <f>Resultados_Obtenidos!H7*(1+'Proyeccion esperada'!$J$7)</f>
        <v>220.00000000000003</v>
      </c>
      <c r="I7" s="10">
        <f>Resultados_Obtenidos!I7*(1+'Proyeccion esperada'!$J$7)</f>
        <v>220.00000000000003</v>
      </c>
      <c r="J7" s="10">
        <f>Resultados_Obtenidos!J7*(1+'Proyeccion esperada'!$J$7)</f>
        <v>220.00000000000003</v>
      </c>
      <c r="K7" s="10">
        <f>Resultados_Obtenidos!K7*(1+'Proyeccion esperada'!$J$7)</f>
        <v>220.00000000000003</v>
      </c>
      <c r="L7" s="10">
        <f>Resultados_Obtenidos!L7*(1+'Proyeccion esperada'!$J$7)</f>
        <v>220.00000000000003</v>
      </c>
      <c r="M7" s="10">
        <f>Resultados_Obtenidos!M7*(1+'Proyeccion esperada'!$J$7)</f>
        <v>220.00000000000003</v>
      </c>
      <c r="N7" s="10">
        <f>Resultados_Obtenidos!N7*(1+'Proyeccion esperada'!$J$7)</f>
        <v>220.00000000000003</v>
      </c>
      <c r="O7" s="10">
        <f t="shared" si="11"/>
        <v>2640.0000000000005</v>
      </c>
      <c r="P7" s="33"/>
    </row>
    <row r="8" spans="2:16" x14ac:dyDescent="0.3">
      <c r="B8" s="12" t="s">
        <v>14</v>
      </c>
      <c r="C8" s="13">
        <f>SUM(C9:C13)</f>
        <v>25893</v>
      </c>
      <c r="D8" s="13">
        <f t="shared" ref="D8:O8" si="12">SUM(D9:D13)</f>
        <v>23950.5</v>
      </c>
      <c r="E8" s="13">
        <f t="shared" si="12"/>
        <v>26418</v>
      </c>
      <c r="F8" s="13">
        <f t="shared" si="12"/>
        <v>27888</v>
      </c>
      <c r="G8" s="13">
        <f t="shared" si="12"/>
        <v>29253</v>
      </c>
      <c r="H8" s="13">
        <f t="shared" si="12"/>
        <v>30513</v>
      </c>
      <c r="I8" s="13">
        <f t="shared" si="12"/>
        <v>32718</v>
      </c>
      <c r="J8" s="13">
        <f t="shared" si="12"/>
        <v>33715.5</v>
      </c>
      <c r="K8" s="13">
        <f t="shared" si="12"/>
        <v>29305.5</v>
      </c>
      <c r="L8" s="13">
        <f t="shared" si="12"/>
        <v>27888</v>
      </c>
      <c r="M8" s="13">
        <f t="shared" si="12"/>
        <v>26418</v>
      </c>
      <c r="N8" s="13">
        <f t="shared" si="12"/>
        <v>34923</v>
      </c>
      <c r="O8" s="13">
        <f t="shared" si="12"/>
        <v>348883.5</v>
      </c>
      <c r="P8" s="33"/>
    </row>
    <row r="9" spans="2:16" x14ac:dyDescent="0.3">
      <c r="B9" s="9" t="s">
        <v>15</v>
      </c>
      <c r="C9" s="10">
        <f>Resultados_Obtenidos!C9*(1+'Proyeccion esperada'!$J$9)</f>
        <v>2100</v>
      </c>
      <c r="D9" s="10">
        <f>Resultados_Obtenidos!D9*(1+'Proyeccion esperada'!$J$9)</f>
        <v>2100</v>
      </c>
      <c r="E9" s="10">
        <f>Resultados_Obtenidos!E9*(1+'Proyeccion esperada'!$J$9)</f>
        <v>2100</v>
      </c>
      <c r="F9" s="10">
        <f>Resultados_Obtenidos!F9*(1+'Proyeccion esperada'!$J$9)</f>
        <v>2100</v>
      </c>
      <c r="G9" s="10">
        <f>Resultados_Obtenidos!G9*(1+'Proyeccion esperada'!$J$9)</f>
        <v>2100</v>
      </c>
      <c r="H9" s="10">
        <f>Resultados_Obtenidos!H9*(1+'Proyeccion esperada'!$J$9)</f>
        <v>2100</v>
      </c>
      <c r="I9" s="10">
        <f>Resultados_Obtenidos!I9*(1+'Proyeccion esperada'!$J$9)</f>
        <v>2100</v>
      </c>
      <c r="J9" s="10">
        <f>Resultados_Obtenidos!J9*(1+'Proyeccion esperada'!$J$9)</f>
        <v>2100</v>
      </c>
      <c r="K9" s="10">
        <f>Resultados_Obtenidos!K9*(1+'Proyeccion esperada'!$J$9)</f>
        <v>2100</v>
      </c>
      <c r="L9" s="10">
        <f>Resultados_Obtenidos!L9*(1+'Proyeccion esperada'!$J$9)</f>
        <v>2100</v>
      </c>
      <c r="M9" s="10">
        <f>Resultados_Obtenidos!M9*(1+'Proyeccion esperada'!$J$9)</f>
        <v>2100</v>
      </c>
      <c r="N9" s="10">
        <f>Resultados_Obtenidos!N9*(1+'Proyeccion esperada'!$J$9)</f>
        <v>2100</v>
      </c>
      <c r="O9" s="10">
        <f t="shared" si="11"/>
        <v>25200</v>
      </c>
      <c r="P9" s="33"/>
    </row>
    <row r="10" spans="2:16" x14ac:dyDescent="0.3">
      <c r="B10" s="9" t="s">
        <v>76</v>
      </c>
      <c r="C10" s="10">
        <f>Resultados_Obtenidos!C10*(1+'Proyeccion esperada'!$J$9)</f>
        <v>11781</v>
      </c>
      <c r="D10" s="10">
        <f>Resultados_Obtenidos!D10*(1+'Proyeccion esperada'!$J$9)</f>
        <v>11088</v>
      </c>
      <c r="E10" s="10">
        <f>Resultados_Obtenidos!E10*(1+'Proyeccion esperada'!$J$9)</f>
        <v>12474</v>
      </c>
      <c r="F10" s="10">
        <f>Resultados_Obtenidos!F10*(1+'Proyeccion esperada'!$J$9)</f>
        <v>13167</v>
      </c>
      <c r="G10" s="10">
        <f>Resultados_Obtenidos!G10*(1+'Proyeccion esperada'!$J$9)</f>
        <v>13860</v>
      </c>
      <c r="H10" s="10">
        <f>Resultados_Obtenidos!H10*(1+'Proyeccion esperada'!$J$9)</f>
        <v>14553</v>
      </c>
      <c r="I10" s="10">
        <f>Resultados_Obtenidos!I10*(1+'Proyeccion esperada'!$J$9)</f>
        <v>15246</v>
      </c>
      <c r="J10" s="10">
        <f>Resultados_Obtenidos!J10*(1+'Proyeccion esperada'!$J$9)</f>
        <v>15939</v>
      </c>
      <c r="K10" s="10">
        <f>Resultados_Obtenidos!K10*(1+'Proyeccion esperada'!$J$9)</f>
        <v>13860</v>
      </c>
      <c r="L10" s="10">
        <f>Resultados_Obtenidos!L10*(1+'Proyeccion esperada'!$J$9)</f>
        <v>13167</v>
      </c>
      <c r="M10" s="10">
        <f>Resultados_Obtenidos!M10*(1+'Proyeccion esperada'!$J$9)</f>
        <v>12474</v>
      </c>
      <c r="N10" s="10">
        <f>Resultados_Obtenidos!N10*(1+'Proyeccion esperada'!$J$9)</f>
        <v>16632</v>
      </c>
      <c r="O10" s="10">
        <f t="shared" si="11"/>
        <v>164241</v>
      </c>
      <c r="P10" s="33"/>
    </row>
    <row r="11" spans="2:16" x14ac:dyDescent="0.3">
      <c r="B11" s="9" t="s">
        <v>77</v>
      </c>
      <c r="C11" s="10">
        <f>Resultados_Obtenidos!C11*(1+'Proyeccion esperada'!$J$9)</f>
        <v>7140</v>
      </c>
      <c r="D11" s="10">
        <f>Resultados_Obtenidos!D11*(1+'Proyeccion esperada'!$J$9)</f>
        <v>6720</v>
      </c>
      <c r="E11" s="10">
        <f>Resultados_Obtenidos!E11*(1+'Proyeccion esperada'!$J$9)</f>
        <v>7560</v>
      </c>
      <c r="F11" s="10">
        <f>Resultados_Obtenidos!F11*(1+'Proyeccion esperada'!$J$9)</f>
        <v>7980</v>
      </c>
      <c r="G11" s="10">
        <f>Resultados_Obtenidos!G11*(1+'Proyeccion esperada'!$J$9)</f>
        <v>8400</v>
      </c>
      <c r="H11" s="10">
        <f>Resultados_Obtenidos!H11*(1+'Proyeccion esperada'!$J$9)</f>
        <v>8820</v>
      </c>
      <c r="I11" s="10">
        <f>Resultados_Obtenidos!I11*(1+'Proyeccion esperada'!$J$9)</f>
        <v>9240</v>
      </c>
      <c r="J11" s="10">
        <f>Resultados_Obtenidos!J11*(1+'Proyeccion esperada'!$J$9)</f>
        <v>9660</v>
      </c>
      <c r="K11" s="10">
        <f>Resultados_Obtenidos!K11*(1+'Proyeccion esperada'!$J$9)</f>
        <v>8400</v>
      </c>
      <c r="L11" s="10">
        <f>Resultados_Obtenidos!L11*(1+'Proyeccion esperada'!$J$9)</f>
        <v>7980</v>
      </c>
      <c r="M11" s="10">
        <f>Resultados_Obtenidos!M11*(1+'Proyeccion esperada'!$J$9)</f>
        <v>7560</v>
      </c>
      <c r="N11" s="10">
        <f>Resultados_Obtenidos!N11*(1+'Proyeccion esperada'!$J$9)</f>
        <v>10080</v>
      </c>
      <c r="O11" s="10">
        <f t="shared" si="11"/>
        <v>99540</v>
      </c>
      <c r="P11" s="33"/>
    </row>
    <row r="12" spans="2:16" x14ac:dyDescent="0.3">
      <c r="B12" s="9" t="s">
        <v>78</v>
      </c>
      <c r="C12" s="10">
        <f>Resultados_Obtenidos!C12*(1+'Proyeccion esperada'!$J$9)</f>
        <v>1785</v>
      </c>
      <c r="D12" s="10">
        <f>Resultados_Obtenidos!D12*(1+'Proyeccion esperada'!$J$9)</f>
        <v>1680</v>
      </c>
      <c r="E12" s="10">
        <f>Resultados_Obtenidos!E12*(1+'Proyeccion esperada'!$J$9)</f>
        <v>1890</v>
      </c>
      <c r="F12" s="10">
        <f>Resultados_Obtenidos!F12*(1+'Proyeccion esperada'!$J$9)</f>
        <v>1995</v>
      </c>
      <c r="G12" s="10">
        <f>Resultados_Obtenidos!G12*(1+'Proyeccion esperada'!$J$9)</f>
        <v>2100</v>
      </c>
      <c r="H12" s="10">
        <f>Resultados_Obtenidos!H12*(1+'Proyeccion esperada'!$J$9)</f>
        <v>2205</v>
      </c>
      <c r="I12" s="10">
        <f>Resultados_Obtenidos!I12*(1+'Proyeccion esperada'!$J$9)</f>
        <v>2310</v>
      </c>
      <c r="J12" s="10">
        <f>Resultados_Obtenidos!J12*(1+'Proyeccion esperada'!$J$9)</f>
        <v>2415</v>
      </c>
      <c r="K12" s="10">
        <f>Resultados_Obtenidos!K12*(1+'Proyeccion esperada'!$J$9)</f>
        <v>2100</v>
      </c>
      <c r="L12" s="10">
        <f>Resultados_Obtenidos!L12*(1+'Proyeccion esperada'!$J$9)</f>
        <v>1995</v>
      </c>
      <c r="M12" s="10">
        <f>Resultados_Obtenidos!M12*(1+'Proyeccion esperada'!$J$9)</f>
        <v>1890</v>
      </c>
      <c r="N12" s="10">
        <f>Resultados_Obtenidos!N12*(1+'Proyeccion esperada'!$J$9)</f>
        <v>2520</v>
      </c>
      <c r="O12" s="10">
        <f t="shared" si="11"/>
        <v>24885</v>
      </c>
      <c r="P12" s="24"/>
    </row>
    <row r="13" spans="2:16" x14ac:dyDescent="0.3">
      <c r="B13" s="9" t="s">
        <v>79</v>
      </c>
      <c r="C13" s="10">
        <f>Resultados_Obtenidos!C13*(1+'Proyeccion esperada'!$J$9)</f>
        <v>3087</v>
      </c>
      <c r="D13" s="10">
        <f>Resultados_Obtenidos!D13*(1+'Proyeccion esperada'!$J$9)</f>
        <v>2362.5</v>
      </c>
      <c r="E13" s="10">
        <f>Resultados_Obtenidos!E13*(1+'Proyeccion esperada'!$J$9)</f>
        <v>2394</v>
      </c>
      <c r="F13" s="10">
        <f>Resultados_Obtenidos!F13*(1+'Proyeccion esperada'!$J$9)</f>
        <v>2646</v>
      </c>
      <c r="G13" s="10">
        <f>Resultados_Obtenidos!G13*(1+'Proyeccion esperada'!$J$9)</f>
        <v>2793</v>
      </c>
      <c r="H13" s="10">
        <f>Resultados_Obtenidos!H13*(1+'Proyeccion esperada'!$J$9)</f>
        <v>2835</v>
      </c>
      <c r="I13" s="10">
        <f>Resultados_Obtenidos!I13*(1+'Proyeccion esperada'!$J$9)</f>
        <v>3822</v>
      </c>
      <c r="J13" s="10">
        <f>Resultados_Obtenidos!J13*(1+'Proyeccion esperada'!$J$9)</f>
        <v>3601.5</v>
      </c>
      <c r="K13" s="10">
        <f>Resultados_Obtenidos!K13*(1+'Proyeccion esperada'!$J$9)</f>
        <v>2845.5</v>
      </c>
      <c r="L13" s="10">
        <f>Resultados_Obtenidos!L13*(1+'Proyeccion esperada'!$J$9)</f>
        <v>2646</v>
      </c>
      <c r="M13" s="10">
        <f>Resultados_Obtenidos!M13*(1+'Proyeccion esperada'!$J$9)</f>
        <v>2394</v>
      </c>
      <c r="N13" s="10">
        <f>Resultados_Obtenidos!N13*(1+'Proyeccion esperada'!$J$9)</f>
        <v>3591</v>
      </c>
      <c r="O13" s="10">
        <f t="shared" si="11"/>
        <v>35017.5</v>
      </c>
      <c r="P13" s="10"/>
    </row>
    <row r="14" spans="2:16" x14ac:dyDescent="0.3">
      <c r="B14" s="14" t="s">
        <v>16</v>
      </c>
      <c r="C14" s="15">
        <f>C3-C8</f>
        <v>68707</v>
      </c>
      <c r="D14" s="15">
        <f t="shared" ref="D14:O14" si="13">D3-D8</f>
        <v>65149.5</v>
      </c>
      <c r="E14" s="15">
        <f t="shared" si="13"/>
        <v>73682</v>
      </c>
      <c r="F14" s="15">
        <f t="shared" si="13"/>
        <v>77712</v>
      </c>
      <c r="G14" s="15">
        <f t="shared" si="13"/>
        <v>81847</v>
      </c>
      <c r="H14" s="15">
        <f t="shared" si="13"/>
        <v>86087</v>
      </c>
      <c r="I14" s="15">
        <f t="shared" si="13"/>
        <v>89382</v>
      </c>
      <c r="J14" s="15">
        <f t="shared" si="13"/>
        <v>93884.5</v>
      </c>
      <c r="K14" s="15">
        <f t="shared" si="13"/>
        <v>81794.5</v>
      </c>
      <c r="L14" s="15">
        <f t="shared" si="13"/>
        <v>77712</v>
      </c>
      <c r="M14" s="15">
        <f t="shared" si="13"/>
        <v>73682</v>
      </c>
      <c r="N14" s="15">
        <f t="shared" si="13"/>
        <v>98177</v>
      </c>
      <c r="O14" s="15">
        <f t="shared" si="13"/>
        <v>967816.5</v>
      </c>
      <c r="P14" s="33"/>
    </row>
    <row r="15" spans="2:16" x14ac:dyDescent="0.3">
      <c r="B15" s="16" t="s">
        <v>17</v>
      </c>
      <c r="C15" s="17">
        <f>SUM(C16:C18)</f>
        <v>39375</v>
      </c>
      <c r="D15" s="17">
        <f t="shared" ref="D15:O15" si="14">SUM(D16:D18)</f>
        <v>39375</v>
      </c>
      <c r="E15" s="17">
        <f t="shared" si="14"/>
        <v>39375</v>
      </c>
      <c r="F15" s="17">
        <f t="shared" si="14"/>
        <v>39375</v>
      </c>
      <c r="G15" s="17">
        <f t="shared" si="14"/>
        <v>39375</v>
      </c>
      <c r="H15" s="17">
        <f t="shared" si="14"/>
        <v>39375</v>
      </c>
      <c r="I15" s="17">
        <f t="shared" si="14"/>
        <v>39375</v>
      </c>
      <c r="J15" s="17">
        <f t="shared" si="14"/>
        <v>39375</v>
      </c>
      <c r="K15" s="17">
        <f t="shared" si="14"/>
        <v>39375</v>
      </c>
      <c r="L15" s="17">
        <f t="shared" si="14"/>
        <v>39375</v>
      </c>
      <c r="M15" s="17">
        <f t="shared" si="14"/>
        <v>39375</v>
      </c>
      <c r="N15" s="17">
        <f t="shared" si="14"/>
        <v>45045</v>
      </c>
      <c r="O15" s="17">
        <f t="shared" si="14"/>
        <v>478170</v>
      </c>
      <c r="P15" s="33"/>
    </row>
    <row r="16" spans="2:16" x14ac:dyDescent="0.3">
      <c r="B16" s="9" t="s">
        <v>18</v>
      </c>
      <c r="C16" s="10">
        <f>Resultados_Obtenidos!C16*(1+'Proyeccion esperada'!$J$9)</f>
        <v>9450</v>
      </c>
      <c r="D16" s="10">
        <f>Resultados_Obtenidos!D16*(1+'Proyeccion esperada'!$J$9)</f>
        <v>9450</v>
      </c>
      <c r="E16" s="10">
        <f>Resultados_Obtenidos!E16*(1+'Proyeccion esperada'!$J$9)</f>
        <v>9450</v>
      </c>
      <c r="F16" s="10">
        <f>Resultados_Obtenidos!F16*(1+'Proyeccion esperada'!$J$9)</f>
        <v>9450</v>
      </c>
      <c r="G16" s="10">
        <f>Resultados_Obtenidos!G16*(1+'Proyeccion esperada'!$J$9)</f>
        <v>9450</v>
      </c>
      <c r="H16" s="10">
        <f>Resultados_Obtenidos!H16*(1+'Proyeccion esperada'!$J$9)</f>
        <v>9450</v>
      </c>
      <c r="I16" s="10">
        <f>Resultados_Obtenidos!I16*(1+'Proyeccion esperada'!$J$9)</f>
        <v>9450</v>
      </c>
      <c r="J16" s="10">
        <f>Resultados_Obtenidos!J16*(1+'Proyeccion esperada'!$J$9)</f>
        <v>9450</v>
      </c>
      <c r="K16" s="10">
        <f>Resultados_Obtenidos!K16*(1+'Proyeccion esperada'!$J$9)</f>
        <v>9450</v>
      </c>
      <c r="L16" s="10">
        <f>Resultados_Obtenidos!L16*(1+'Proyeccion esperada'!$J$9)</f>
        <v>9450</v>
      </c>
      <c r="M16" s="10">
        <f>Resultados_Obtenidos!M16*(1+'Proyeccion esperada'!$J$9)</f>
        <v>9450</v>
      </c>
      <c r="N16" s="10">
        <f>Resultados_Obtenidos!N16*(1+'Proyeccion esperada'!$J$9)</f>
        <v>10710</v>
      </c>
      <c r="O16" s="10">
        <f t="shared" si="11"/>
        <v>114660</v>
      </c>
      <c r="P16" s="33"/>
    </row>
    <row r="17" spans="2:16" x14ac:dyDescent="0.3">
      <c r="B17" s="9" t="s">
        <v>19</v>
      </c>
      <c r="C17" s="10">
        <f>Resultados_Obtenidos!C17*(1+'Proyeccion esperada'!$J$9)</f>
        <v>29400</v>
      </c>
      <c r="D17" s="10">
        <f>Resultados_Obtenidos!D17*(1+'Proyeccion esperada'!$J$9)</f>
        <v>29400</v>
      </c>
      <c r="E17" s="10">
        <f>Resultados_Obtenidos!E17*(1+'Proyeccion esperada'!$J$9)</f>
        <v>29400</v>
      </c>
      <c r="F17" s="10">
        <f>Resultados_Obtenidos!F17*(1+'Proyeccion esperada'!$J$9)</f>
        <v>29400</v>
      </c>
      <c r="G17" s="10">
        <f>Resultados_Obtenidos!G17*(1+'Proyeccion esperada'!$J$9)</f>
        <v>29400</v>
      </c>
      <c r="H17" s="10">
        <f>Resultados_Obtenidos!H17*(1+'Proyeccion esperada'!$J$9)</f>
        <v>29400</v>
      </c>
      <c r="I17" s="10">
        <f>Resultados_Obtenidos!I17*(1+'Proyeccion esperada'!$J$9)</f>
        <v>29400</v>
      </c>
      <c r="J17" s="10">
        <f>Resultados_Obtenidos!J17*(1+'Proyeccion esperada'!$J$9)</f>
        <v>29400</v>
      </c>
      <c r="K17" s="10">
        <f>Resultados_Obtenidos!K17*(1+'Proyeccion esperada'!$J$9)</f>
        <v>29400</v>
      </c>
      <c r="L17" s="10">
        <f>Resultados_Obtenidos!L17*(1+'Proyeccion esperada'!$J$9)</f>
        <v>29400</v>
      </c>
      <c r="M17" s="10">
        <f>Resultados_Obtenidos!M17*(1+'Proyeccion esperada'!$J$9)</f>
        <v>29400</v>
      </c>
      <c r="N17" s="10">
        <f>Resultados_Obtenidos!N17*(1+'Proyeccion esperada'!$J$9)</f>
        <v>33600</v>
      </c>
      <c r="O17" s="10">
        <f t="shared" si="11"/>
        <v>357000</v>
      </c>
      <c r="P17" s="33"/>
    </row>
    <row r="18" spans="2:16" x14ac:dyDescent="0.3">
      <c r="B18" s="9" t="s">
        <v>20</v>
      </c>
      <c r="C18" s="10">
        <f>Resultados_Obtenidos!C18*(1+'Proyeccion esperada'!$J$9)</f>
        <v>525</v>
      </c>
      <c r="D18" s="10">
        <f>Resultados_Obtenidos!D18*(1+'Proyeccion esperada'!$J$9)</f>
        <v>525</v>
      </c>
      <c r="E18" s="10">
        <f>Resultados_Obtenidos!E18*(1+'Proyeccion esperada'!$J$9)</f>
        <v>525</v>
      </c>
      <c r="F18" s="10">
        <f>Resultados_Obtenidos!F18*(1+'Proyeccion esperada'!$J$9)</f>
        <v>525</v>
      </c>
      <c r="G18" s="10">
        <f>Resultados_Obtenidos!G18*(1+'Proyeccion esperada'!$J$9)</f>
        <v>525</v>
      </c>
      <c r="H18" s="10">
        <f>Resultados_Obtenidos!H18*(1+'Proyeccion esperada'!$J$9)</f>
        <v>525</v>
      </c>
      <c r="I18" s="10">
        <f>Resultados_Obtenidos!I18*(1+'Proyeccion esperada'!$J$9)</f>
        <v>525</v>
      </c>
      <c r="J18" s="10">
        <f>Resultados_Obtenidos!J18*(1+'Proyeccion esperada'!$J$9)</f>
        <v>525</v>
      </c>
      <c r="K18" s="10">
        <f>Resultados_Obtenidos!K18*(1+'Proyeccion esperada'!$J$9)</f>
        <v>525</v>
      </c>
      <c r="L18" s="10">
        <f>Resultados_Obtenidos!L18*(1+'Proyeccion esperada'!$J$9)</f>
        <v>525</v>
      </c>
      <c r="M18" s="10">
        <f>Resultados_Obtenidos!M18*(1+'Proyeccion esperada'!$J$9)</f>
        <v>525</v>
      </c>
      <c r="N18" s="10">
        <f>Resultados_Obtenidos!N18*(1+'Proyeccion esperada'!$J$9)</f>
        <v>735</v>
      </c>
      <c r="O18" s="10">
        <f t="shared" si="11"/>
        <v>6510</v>
      </c>
      <c r="P18" s="33"/>
    </row>
    <row r="19" spans="2:16" x14ac:dyDescent="0.3">
      <c r="B19" s="18" t="s">
        <v>21</v>
      </c>
      <c r="C19" s="19">
        <f>SUM(C20:C25)</f>
        <v>12075</v>
      </c>
      <c r="D19" s="19">
        <f t="shared" ref="D19:N19" si="15">SUM(D20:D25)</f>
        <v>12075</v>
      </c>
      <c r="E19" s="19">
        <f t="shared" si="15"/>
        <v>12075</v>
      </c>
      <c r="F19" s="19">
        <f t="shared" si="15"/>
        <v>12075</v>
      </c>
      <c r="G19" s="19">
        <f t="shared" si="15"/>
        <v>12075</v>
      </c>
      <c r="H19" s="19">
        <f t="shared" si="15"/>
        <v>12075</v>
      </c>
      <c r="I19" s="19">
        <f t="shared" si="15"/>
        <v>12075</v>
      </c>
      <c r="J19" s="19">
        <f t="shared" si="15"/>
        <v>12075</v>
      </c>
      <c r="K19" s="19">
        <f t="shared" si="15"/>
        <v>12075</v>
      </c>
      <c r="L19" s="19">
        <f t="shared" si="15"/>
        <v>12075</v>
      </c>
      <c r="M19" s="19">
        <f t="shared" si="15"/>
        <v>12075</v>
      </c>
      <c r="N19" s="19">
        <f t="shared" si="15"/>
        <v>12075</v>
      </c>
      <c r="O19" s="19">
        <f t="shared" si="11"/>
        <v>144900</v>
      </c>
      <c r="P19" s="33"/>
    </row>
    <row r="20" spans="2:16" x14ac:dyDescent="0.3">
      <c r="B20" s="9" t="s">
        <v>72</v>
      </c>
      <c r="C20" s="10">
        <f>Resultados_Obtenidos!C20*(1+'Proyeccion esperada'!$J$9)</f>
        <v>6825</v>
      </c>
      <c r="D20" s="10">
        <f>Resultados_Obtenidos!D20*(1+'Proyeccion esperada'!$J$9)</f>
        <v>6825</v>
      </c>
      <c r="E20" s="10">
        <f>Resultados_Obtenidos!E20*(1+'Proyeccion esperada'!$J$9)</f>
        <v>6825</v>
      </c>
      <c r="F20" s="10">
        <f>Resultados_Obtenidos!F20*(1+'Proyeccion esperada'!$J$9)</f>
        <v>6825</v>
      </c>
      <c r="G20" s="10">
        <f>Resultados_Obtenidos!G20*(1+'Proyeccion esperada'!$J$9)</f>
        <v>6825</v>
      </c>
      <c r="H20" s="10">
        <f>Resultados_Obtenidos!H20*(1+'Proyeccion esperada'!$J$9)</f>
        <v>6825</v>
      </c>
      <c r="I20" s="10">
        <f>Resultados_Obtenidos!I20*(1+'Proyeccion esperada'!$J$9)</f>
        <v>6825</v>
      </c>
      <c r="J20" s="10">
        <f>Resultados_Obtenidos!J20*(1+'Proyeccion esperada'!$J$9)</f>
        <v>6825</v>
      </c>
      <c r="K20" s="10">
        <f>Resultados_Obtenidos!K20*(1+'Proyeccion esperada'!$J$9)</f>
        <v>6825</v>
      </c>
      <c r="L20" s="10">
        <f>Resultados_Obtenidos!L20*(1+'Proyeccion esperada'!$J$9)</f>
        <v>6825</v>
      </c>
      <c r="M20" s="10">
        <f>Resultados_Obtenidos!M20*(1+'Proyeccion esperada'!$J$9)</f>
        <v>6825</v>
      </c>
      <c r="N20" s="10">
        <f>Resultados_Obtenidos!N20*(1+'Proyeccion esperada'!$J$9)</f>
        <v>6825</v>
      </c>
      <c r="O20" s="10">
        <f t="shared" si="11"/>
        <v>81900</v>
      </c>
      <c r="P20" s="33"/>
    </row>
    <row r="21" spans="2:16" x14ac:dyDescent="0.3">
      <c r="B21" s="9" t="s">
        <v>22</v>
      </c>
      <c r="C21" s="10">
        <f>Resultados_Obtenidos!C21*(1+'Proyeccion esperada'!$J$9)</f>
        <v>1260</v>
      </c>
      <c r="D21" s="10">
        <f>Resultados_Obtenidos!D21*(1+'Proyeccion esperada'!$J$9)</f>
        <v>1260</v>
      </c>
      <c r="E21" s="10">
        <f>Resultados_Obtenidos!E21*(1+'Proyeccion esperada'!$J$9)</f>
        <v>1260</v>
      </c>
      <c r="F21" s="10">
        <f>Resultados_Obtenidos!F21*(1+'Proyeccion esperada'!$J$9)</f>
        <v>1260</v>
      </c>
      <c r="G21" s="10">
        <f>Resultados_Obtenidos!G21*(1+'Proyeccion esperada'!$J$9)</f>
        <v>1260</v>
      </c>
      <c r="H21" s="10">
        <f>Resultados_Obtenidos!H21*(1+'Proyeccion esperada'!$J$9)</f>
        <v>1260</v>
      </c>
      <c r="I21" s="10">
        <f>Resultados_Obtenidos!I21*(1+'Proyeccion esperada'!$J$9)</f>
        <v>1260</v>
      </c>
      <c r="J21" s="10">
        <f>Resultados_Obtenidos!J21*(1+'Proyeccion esperada'!$J$9)</f>
        <v>1260</v>
      </c>
      <c r="K21" s="10">
        <f>Resultados_Obtenidos!K21*(1+'Proyeccion esperada'!$J$9)</f>
        <v>1260</v>
      </c>
      <c r="L21" s="10">
        <f>Resultados_Obtenidos!L21*(1+'Proyeccion esperada'!$J$9)</f>
        <v>1260</v>
      </c>
      <c r="M21" s="10">
        <f>Resultados_Obtenidos!M21*(1+'Proyeccion esperada'!$J$9)</f>
        <v>1260</v>
      </c>
      <c r="N21" s="10">
        <f>Resultados_Obtenidos!N21*(1+'Proyeccion esperada'!$J$9)</f>
        <v>1260</v>
      </c>
      <c r="O21" s="10">
        <f t="shared" si="11"/>
        <v>15120</v>
      </c>
      <c r="P21" s="33"/>
    </row>
    <row r="22" spans="2:16" x14ac:dyDescent="0.3">
      <c r="B22" s="9" t="s">
        <v>23</v>
      </c>
      <c r="C22" s="10">
        <f>Resultados_Obtenidos!C22*(1+'Proyeccion esperada'!$J$9)</f>
        <v>945</v>
      </c>
      <c r="D22" s="10">
        <f>Resultados_Obtenidos!D22*(1+'Proyeccion esperada'!$J$9)</f>
        <v>945</v>
      </c>
      <c r="E22" s="10">
        <f>Resultados_Obtenidos!E22*(1+'Proyeccion esperada'!$J$9)</f>
        <v>945</v>
      </c>
      <c r="F22" s="10">
        <f>Resultados_Obtenidos!F22*(1+'Proyeccion esperada'!$J$9)</f>
        <v>945</v>
      </c>
      <c r="G22" s="10">
        <f>Resultados_Obtenidos!G22*(1+'Proyeccion esperada'!$J$9)</f>
        <v>945</v>
      </c>
      <c r="H22" s="10">
        <f>Resultados_Obtenidos!H22*(1+'Proyeccion esperada'!$J$9)</f>
        <v>945</v>
      </c>
      <c r="I22" s="10">
        <f>Resultados_Obtenidos!I22*(1+'Proyeccion esperada'!$J$9)</f>
        <v>945</v>
      </c>
      <c r="J22" s="10">
        <f>Resultados_Obtenidos!J22*(1+'Proyeccion esperada'!$J$9)</f>
        <v>945</v>
      </c>
      <c r="K22" s="10">
        <f>Resultados_Obtenidos!K22*(1+'Proyeccion esperada'!$J$9)</f>
        <v>945</v>
      </c>
      <c r="L22" s="10">
        <f>Resultados_Obtenidos!L22*(1+'Proyeccion esperada'!$J$9)</f>
        <v>945</v>
      </c>
      <c r="M22" s="10">
        <f>Resultados_Obtenidos!M22*(1+'Proyeccion esperada'!$J$9)</f>
        <v>945</v>
      </c>
      <c r="N22" s="10">
        <f>Resultados_Obtenidos!N22*(1+'Proyeccion esperada'!$J$9)</f>
        <v>945</v>
      </c>
      <c r="O22" s="10">
        <f t="shared" si="11"/>
        <v>11340</v>
      </c>
      <c r="P22" s="33"/>
    </row>
    <row r="23" spans="2:16" x14ac:dyDescent="0.3">
      <c r="B23" s="9" t="s">
        <v>24</v>
      </c>
      <c r="C23" s="10">
        <f>Resultados_Obtenidos!C23*(1+'Proyeccion esperada'!$J$9)</f>
        <v>472.5</v>
      </c>
      <c r="D23" s="10">
        <f>Resultados_Obtenidos!D23*(1+'Proyeccion esperada'!$J$9)</f>
        <v>472.5</v>
      </c>
      <c r="E23" s="10">
        <f>Resultados_Obtenidos!E23*(1+'Proyeccion esperada'!$J$9)</f>
        <v>472.5</v>
      </c>
      <c r="F23" s="10">
        <f>Resultados_Obtenidos!F23*(1+'Proyeccion esperada'!$J$9)</f>
        <v>472.5</v>
      </c>
      <c r="G23" s="10">
        <f>Resultados_Obtenidos!G23*(1+'Proyeccion esperada'!$J$9)</f>
        <v>472.5</v>
      </c>
      <c r="H23" s="10">
        <f>Resultados_Obtenidos!H23*(1+'Proyeccion esperada'!$J$9)</f>
        <v>472.5</v>
      </c>
      <c r="I23" s="10">
        <f>Resultados_Obtenidos!I23*(1+'Proyeccion esperada'!$J$9)</f>
        <v>472.5</v>
      </c>
      <c r="J23" s="10">
        <f>Resultados_Obtenidos!J23*(1+'Proyeccion esperada'!$J$9)</f>
        <v>472.5</v>
      </c>
      <c r="K23" s="10">
        <f>Resultados_Obtenidos!K23*(1+'Proyeccion esperada'!$J$9)</f>
        <v>472.5</v>
      </c>
      <c r="L23" s="10">
        <f>Resultados_Obtenidos!L23*(1+'Proyeccion esperada'!$J$9)</f>
        <v>472.5</v>
      </c>
      <c r="M23" s="10">
        <f>Resultados_Obtenidos!M23*(1+'Proyeccion esperada'!$J$9)</f>
        <v>472.5</v>
      </c>
      <c r="N23" s="10">
        <f>Resultados_Obtenidos!N23*(1+'Proyeccion esperada'!$J$9)</f>
        <v>472.5</v>
      </c>
      <c r="O23" s="10">
        <f t="shared" si="11"/>
        <v>5670</v>
      </c>
      <c r="P23" s="33"/>
    </row>
    <row r="24" spans="2:16" x14ac:dyDescent="0.3">
      <c r="B24" s="9" t="s">
        <v>25</v>
      </c>
      <c r="C24" s="10">
        <f>Resultados_Obtenidos!C24*(1+'Proyeccion esperada'!$J$9)</f>
        <v>262.5</v>
      </c>
      <c r="D24" s="10">
        <f>Resultados_Obtenidos!D24*(1+'Proyeccion esperada'!$J$9)</f>
        <v>262.5</v>
      </c>
      <c r="E24" s="10">
        <f>Resultados_Obtenidos!E24*(1+'Proyeccion esperada'!$J$9)</f>
        <v>262.5</v>
      </c>
      <c r="F24" s="10">
        <f>Resultados_Obtenidos!F24*(1+'Proyeccion esperada'!$J$9)</f>
        <v>262.5</v>
      </c>
      <c r="G24" s="10">
        <f>Resultados_Obtenidos!G24*(1+'Proyeccion esperada'!$J$9)</f>
        <v>262.5</v>
      </c>
      <c r="H24" s="10">
        <f>Resultados_Obtenidos!H24*(1+'Proyeccion esperada'!$J$9)</f>
        <v>262.5</v>
      </c>
      <c r="I24" s="10">
        <f>Resultados_Obtenidos!I24*(1+'Proyeccion esperada'!$J$9)</f>
        <v>262.5</v>
      </c>
      <c r="J24" s="10">
        <f>Resultados_Obtenidos!J24*(1+'Proyeccion esperada'!$J$9)</f>
        <v>262.5</v>
      </c>
      <c r="K24" s="10">
        <f>Resultados_Obtenidos!K24*(1+'Proyeccion esperada'!$J$9)</f>
        <v>262.5</v>
      </c>
      <c r="L24" s="10">
        <f>Resultados_Obtenidos!L24*(1+'Proyeccion esperada'!$J$9)</f>
        <v>262.5</v>
      </c>
      <c r="M24" s="10">
        <f>Resultados_Obtenidos!M24*(1+'Proyeccion esperada'!$J$9)</f>
        <v>262.5</v>
      </c>
      <c r="N24" s="10">
        <f>Resultados_Obtenidos!N24*(1+'Proyeccion esperada'!$J$9)</f>
        <v>262.5</v>
      </c>
      <c r="O24" s="10">
        <f t="shared" si="11"/>
        <v>3150</v>
      </c>
      <c r="P24" s="33"/>
    </row>
    <row r="25" spans="2:16" x14ac:dyDescent="0.3">
      <c r="B25" s="9" t="s">
        <v>26</v>
      </c>
      <c r="C25" s="10">
        <f>Resultados_Obtenidos!C25*(1+'Proyeccion esperada'!$J$9)</f>
        <v>2310</v>
      </c>
      <c r="D25" s="10">
        <f>Resultados_Obtenidos!D25*(1+'Proyeccion esperada'!$J$9)</f>
        <v>2310</v>
      </c>
      <c r="E25" s="10">
        <f>Resultados_Obtenidos!E25*(1+'Proyeccion esperada'!$J$9)</f>
        <v>2310</v>
      </c>
      <c r="F25" s="10">
        <f>Resultados_Obtenidos!F25*(1+'Proyeccion esperada'!$J$9)</f>
        <v>2310</v>
      </c>
      <c r="G25" s="10">
        <f>Resultados_Obtenidos!G25*(1+'Proyeccion esperada'!$J$9)</f>
        <v>2310</v>
      </c>
      <c r="H25" s="10">
        <f>Resultados_Obtenidos!H25*(1+'Proyeccion esperada'!$J$9)</f>
        <v>2310</v>
      </c>
      <c r="I25" s="10">
        <f>Resultados_Obtenidos!I25*(1+'Proyeccion esperada'!$J$9)</f>
        <v>2310</v>
      </c>
      <c r="J25" s="10">
        <f>Resultados_Obtenidos!J25*(1+'Proyeccion esperada'!$J$9)</f>
        <v>2310</v>
      </c>
      <c r="K25" s="10">
        <f>Resultados_Obtenidos!K25*(1+'Proyeccion esperada'!$J$9)</f>
        <v>2310</v>
      </c>
      <c r="L25" s="10">
        <f>Resultados_Obtenidos!L25*(1+'Proyeccion esperada'!$J$9)</f>
        <v>2310</v>
      </c>
      <c r="M25" s="10">
        <f>Resultados_Obtenidos!M25*(1+'Proyeccion esperada'!$J$9)</f>
        <v>2310</v>
      </c>
      <c r="N25" s="10">
        <f>Resultados_Obtenidos!N25*(1+'Proyeccion esperada'!$J$9)</f>
        <v>2310</v>
      </c>
      <c r="O25" s="10">
        <f t="shared" si="11"/>
        <v>27720</v>
      </c>
      <c r="P25" s="33"/>
    </row>
    <row r="26" spans="2:16" x14ac:dyDescent="0.3">
      <c r="B26" s="20" t="s">
        <v>27</v>
      </c>
      <c r="C26" s="21">
        <f>SUM(C27:C32)</f>
        <v>7696.5</v>
      </c>
      <c r="D26" s="21">
        <f t="shared" ref="D26:N26" si="16">SUM(D27:D32)</f>
        <v>7539</v>
      </c>
      <c r="E26" s="21">
        <f t="shared" si="16"/>
        <v>7171.5</v>
      </c>
      <c r="F26" s="21">
        <f t="shared" si="16"/>
        <v>6751.5</v>
      </c>
      <c r="G26" s="21">
        <f t="shared" si="16"/>
        <v>6436.5</v>
      </c>
      <c r="H26" s="21">
        <f t="shared" si="16"/>
        <v>6226.5</v>
      </c>
      <c r="I26" s="21">
        <f t="shared" si="16"/>
        <v>6121.5</v>
      </c>
      <c r="J26" s="21">
        <f t="shared" si="16"/>
        <v>6174</v>
      </c>
      <c r="K26" s="21">
        <f t="shared" si="16"/>
        <v>6384</v>
      </c>
      <c r="L26" s="21">
        <f t="shared" si="16"/>
        <v>6751.5</v>
      </c>
      <c r="M26" s="21">
        <f t="shared" si="16"/>
        <v>7171.5</v>
      </c>
      <c r="N26" s="21">
        <f t="shared" si="16"/>
        <v>7696.5</v>
      </c>
      <c r="O26" s="21">
        <f t="shared" si="11"/>
        <v>82120.5</v>
      </c>
      <c r="P26" s="33"/>
    </row>
    <row r="27" spans="2:16" x14ac:dyDescent="0.3">
      <c r="B27" s="9" t="s">
        <v>28</v>
      </c>
      <c r="C27" s="10">
        <f>Resultados_Obtenidos!C27*(1+'Proyeccion esperada'!$J$9)</f>
        <v>420</v>
      </c>
      <c r="D27" s="10">
        <f>Resultados_Obtenidos!D27*(1+'Proyeccion esperada'!$J$9)</f>
        <v>420</v>
      </c>
      <c r="E27" s="10">
        <f>Resultados_Obtenidos!E27*(1+'Proyeccion esperada'!$J$9)</f>
        <v>420</v>
      </c>
      <c r="F27" s="10">
        <f>Resultados_Obtenidos!F27*(1+'Proyeccion esperada'!$J$9)</f>
        <v>420</v>
      </c>
      <c r="G27" s="10">
        <f>Resultados_Obtenidos!G27*(1+'Proyeccion esperada'!$J$9)</f>
        <v>420</v>
      </c>
      <c r="H27" s="10">
        <f>Resultados_Obtenidos!H27*(1+'Proyeccion esperada'!$J$9)</f>
        <v>420</v>
      </c>
      <c r="I27" s="10">
        <f>Resultados_Obtenidos!I27*(1+'Proyeccion esperada'!$J$9)</f>
        <v>420</v>
      </c>
      <c r="J27" s="10">
        <f>Resultados_Obtenidos!J27*(1+'Proyeccion esperada'!$J$9)</f>
        <v>420</v>
      </c>
      <c r="K27" s="10">
        <f>Resultados_Obtenidos!K27*(1+'Proyeccion esperada'!$J$9)</f>
        <v>420</v>
      </c>
      <c r="L27" s="10">
        <f>Resultados_Obtenidos!L27*(1+'Proyeccion esperada'!$J$9)</f>
        <v>420</v>
      </c>
      <c r="M27" s="10">
        <f>Resultados_Obtenidos!M27*(1+'Proyeccion esperada'!$J$9)</f>
        <v>420</v>
      </c>
      <c r="N27" s="10">
        <f>Resultados_Obtenidos!N27*(1+'Proyeccion esperada'!$J$9)</f>
        <v>420</v>
      </c>
      <c r="O27" s="10">
        <f t="shared" si="11"/>
        <v>5040</v>
      </c>
      <c r="P27" s="33"/>
    </row>
    <row r="28" spans="2:16" x14ac:dyDescent="0.3">
      <c r="B28" s="9" t="s">
        <v>29</v>
      </c>
      <c r="C28" s="10">
        <f>Resultados_Obtenidos!C28*(1+'Proyeccion esperada'!$J$9)</f>
        <v>231</v>
      </c>
      <c r="D28" s="10">
        <f>Resultados_Obtenidos!D28*(1+'Proyeccion esperada'!$J$9)</f>
        <v>231</v>
      </c>
      <c r="E28" s="10">
        <f>Resultados_Obtenidos!E28*(1+'Proyeccion esperada'!$J$9)</f>
        <v>231</v>
      </c>
      <c r="F28" s="10">
        <f>Resultados_Obtenidos!F28*(1+'Proyeccion esperada'!$J$9)</f>
        <v>231</v>
      </c>
      <c r="G28" s="10">
        <f>Resultados_Obtenidos!G28*(1+'Proyeccion esperada'!$J$9)</f>
        <v>231</v>
      </c>
      <c r="H28" s="10">
        <f>Resultados_Obtenidos!H28*(1+'Proyeccion esperada'!$J$9)</f>
        <v>231</v>
      </c>
      <c r="I28" s="10">
        <f>Resultados_Obtenidos!I28*(1+'Proyeccion esperada'!$J$9)</f>
        <v>231</v>
      </c>
      <c r="J28" s="10">
        <f>Resultados_Obtenidos!J28*(1+'Proyeccion esperada'!$J$9)</f>
        <v>231</v>
      </c>
      <c r="K28" s="10">
        <f>Resultados_Obtenidos!K28*(1+'Proyeccion esperada'!$J$9)</f>
        <v>231</v>
      </c>
      <c r="L28" s="10">
        <f>Resultados_Obtenidos!L28*(1+'Proyeccion esperada'!$J$9)</f>
        <v>231</v>
      </c>
      <c r="M28" s="10">
        <f>Resultados_Obtenidos!M28*(1+'Proyeccion esperada'!$J$9)</f>
        <v>231</v>
      </c>
      <c r="N28" s="10">
        <f>Resultados_Obtenidos!N28*(1+'Proyeccion esperada'!$J$9)</f>
        <v>231</v>
      </c>
      <c r="O28" s="10">
        <f t="shared" si="11"/>
        <v>2772</v>
      </c>
      <c r="P28" s="33"/>
    </row>
    <row r="29" spans="2:16" x14ac:dyDescent="0.3">
      <c r="B29" s="9" t="s">
        <v>30</v>
      </c>
      <c r="C29" s="10">
        <f>Resultados_Obtenidos!C29*(1+'Proyeccion esperada'!$J$9)</f>
        <v>3780</v>
      </c>
      <c r="D29" s="10">
        <f>Resultados_Obtenidos!D29*(1+'Proyeccion esperada'!$J$9)</f>
        <v>3675</v>
      </c>
      <c r="E29" s="10">
        <f>Resultados_Obtenidos!E29*(1+'Proyeccion esperada'!$J$9)</f>
        <v>3465</v>
      </c>
      <c r="F29" s="10">
        <f>Resultados_Obtenidos!F29*(1+'Proyeccion esperada'!$J$9)</f>
        <v>3255</v>
      </c>
      <c r="G29" s="10">
        <f>Resultados_Obtenidos!G29*(1+'Proyeccion esperada'!$J$9)</f>
        <v>3150</v>
      </c>
      <c r="H29" s="10">
        <f>Resultados_Obtenidos!H29*(1+'Proyeccion esperada'!$J$9)</f>
        <v>3045</v>
      </c>
      <c r="I29" s="10">
        <f>Resultados_Obtenidos!I29*(1+'Proyeccion esperada'!$J$9)</f>
        <v>3045</v>
      </c>
      <c r="J29" s="10">
        <f>Resultados_Obtenidos!J29*(1+'Proyeccion esperada'!$J$9)</f>
        <v>3097.5</v>
      </c>
      <c r="K29" s="10">
        <f>Resultados_Obtenidos!K29*(1+'Proyeccion esperada'!$J$9)</f>
        <v>3150</v>
      </c>
      <c r="L29" s="10">
        <f>Resultados_Obtenidos!L29*(1+'Proyeccion esperada'!$J$9)</f>
        <v>3255</v>
      </c>
      <c r="M29" s="10">
        <f>Resultados_Obtenidos!M29*(1+'Proyeccion esperada'!$J$9)</f>
        <v>3465</v>
      </c>
      <c r="N29" s="10">
        <f>Resultados_Obtenidos!N29*(1+'Proyeccion esperada'!$J$9)</f>
        <v>3780</v>
      </c>
      <c r="O29" s="10">
        <f t="shared" si="11"/>
        <v>40162.5</v>
      </c>
      <c r="P29" s="33"/>
    </row>
    <row r="30" spans="2:16" x14ac:dyDescent="0.3">
      <c r="B30" s="9" t="s">
        <v>31</v>
      </c>
      <c r="C30" s="10">
        <f>Resultados_Obtenidos!C30*(1+'Proyeccion esperada'!$J$9)</f>
        <v>2730</v>
      </c>
      <c r="D30" s="10">
        <f>Resultados_Obtenidos!D30*(1+'Proyeccion esperada'!$J$9)</f>
        <v>2677.5</v>
      </c>
      <c r="E30" s="10">
        <f>Resultados_Obtenidos!E30*(1+'Proyeccion esperada'!$J$9)</f>
        <v>2520</v>
      </c>
      <c r="F30" s="10">
        <f>Resultados_Obtenidos!F30*(1+'Proyeccion esperada'!$J$9)</f>
        <v>2310</v>
      </c>
      <c r="G30" s="10">
        <f>Resultados_Obtenidos!G30*(1+'Proyeccion esperada'!$J$9)</f>
        <v>2100</v>
      </c>
      <c r="H30" s="10">
        <f>Resultados_Obtenidos!H30*(1+'Proyeccion esperada'!$J$9)</f>
        <v>1995</v>
      </c>
      <c r="I30" s="10">
        <f>Resultados_Obtenidos!I30*(1+'Proyeccion esperada'!$J$9)</f>
        <v>1890</v>
      </c>
      <c r="J30" s="10">
        <f>Resultados_Obtenidos!J30*(1+'Proyeccion esperada'!$J$9)</f>
        <v>1890</v>
      </c>
      <c r="K30" s="10">
        <f>Resultados_Obtenidos!K30*(1+'Proyeccion esperada'!$J$9)</f>
        <v>2047.5</v>
      </c>
      <c r="L30" s="10">
        <f>Resultados_Obtenidos!L30*(1+'Proyeccion esperada'!$J$9)</f>
        <v>2310</v>
      </c>
      <c r="M30" s="10">
        <f>Resultados_Obtenidos!M30*(1+'Proyeccion esperada'!$J$9)</f>
        <v>2520</v>
      </c>
      <c r="N30" s="10">
        <f>Resultados_Obtenidos!N30*(1+'Proyeccion esperada'!$J$9)</f>
        <v>2730</v>
      </c>
      <c r="O30" s="10">
        <f t="shared" si="11"/>
        <v>27720</v>
      </c>
      <c r="P30" s="33"/>
    </row>
    <row r="31" spans="2:16" x14ac:dyDescent="0.3">
      <c r="B31" s="9" t="s">
        <v>32</v>
      </c>
      <c r="C31" s="10">
        <f>Resultados_Obtenidos!C31*(1+'Proyeccion esperada'!$J$9)</f>
        <v>367.5</v>
      </c>
      <c r="D31" s="10">
        <f>Resultados_Obtenidos!D31*(1+'Proyeccion esperada'!$J$9)</f>
        <v>367.5</v>
      </c>
      <c r="E31" s="10">
        <f>Resultados_Obtenidos!E31*(1+'Proyeccion esperada'!$J$9)</f>
        <v>367.5</v>
      </c>
      <c r="F31" s="10">
        <f>Resultados_Obtenidos!F31*(1+'Proyeccion esperada'!$J$9)</f>
        <v>367.5</v>
      </c>
      <c r="G31" s="10">
        <f>Resultados_Obtenidos!G31*(1+'Proyeccion esperada'!$J$9)</f>
        <v>367.5</v>
      </c>
      <c r="H31" s="10">
        <f>Resultados_Obtenidos!H31*(1+'Proyeccion esperada'!$J$9)</f>
        <v>367.5</v>
      </c>
      <c r="I31" s="10">
        <f>Resultados_Obtenidos!I31*(1+'Proyeccion esperada'!$J$9)</f>
        <v>367.5</v>
      </c>
      <c r="J31" s="10">
        <f>Resultados_Obtenidos!J31*(1+'Proyeccion esperada'!$J$9)</f>
        <v>367.5</v>
      </c>
      <c r="K31" s="10">
        <f>Resultados_Obtenidos!K31*(1+'Proyeccion esperada'!$J$9)</f>
        <v>367.5</v>
      </c>
      <c r="L31" s="10">
        <f>Resultados_Obtenidos!L31*(1+'Proyeccion esperada'!$J$9)</f>
        <v>367.5</v>
      </c>
      <c r="M31" s="10">
        <f>Resultados_Obtenidos!M31*(1+'Proyeccion esperada'!$J$9)</f>
        <v>367.5</v>
      </c>
      <c r="N31" s="10">
        <f>Resultados_Obtenidos!N31*(1+'Proyeccion esperada'!$J$9)</f>
        <v>367.5</v>
      </c>
      <c r="O31" s="10">
        <f t="shared" si="11"/>
        <v>4410</v>
      </c>
      <c r="P31" s="33"/>
    </row>
    <row r="32" spans="2:16" x14ac:dyDescent="0.3">
      <c r="B32" s="9" t="s">
        <v>33</v>
      </c>
      <c r="C32" s="10">
        <f>Resultados_Obtenidos!C32*(1+'Proyeccion esperada'!$J$9)</f>
        <v>168</v>
      </c>
      <c r="D32" s="10">
        <f>Resultados_Obtenidos!D32*(1+'Proyeccion esperada'!$J$9)</f>
        <v>168</v>
      </c>
      <c r="E32" s="10">
        <f>Resultados_Obtenidos!E32*(1+'Proyeccion esperada'!$J$9)</f>
        <v>168</v>
      </c>
      <c r="F32" s="10">
        <f>Resultados_Obtenidos!F32*(1+'Proyeccion esperada'!$J$9)</f>
        <v>168</v>
      </c>
      <c r="G32" s="10">
        <f>Resultados_Obtenidos!G32*(1+'Proyeccion esperada'!$J$9)</f>
        <v>168</v>
      </c>
      <c r="H32" s="10">
        <f>Resultados_Obtenidos!H32*(1+'Proyeccion esperada'!$J$9)</f>
        <v>168</v>
      </c>
      <c r="I32" s="10">
        <f>Resultados_Obtenidos!I32*(1+'Proyeccion esperada'!$J$9)</f>
        <v>168</v>
      </c>
      <c r="J32" s="10">
        <f>Resultados_Obtenidos!J32*(1+'Proyeccion esperada'!$J$9)</f>
        <v>168</v>
      </c>
      <c r="K32" s="10">
        <f>Resultados_Obtenidos!K32*(1+'Proyeccion esperada'!$J$9)</f>
        <v>168</v>
      </c>
      <c r="L32" s="10">
        <f>Resultados_Obtenidos!L32*(1+'Proyeccion esperada'!$J$9)</f>
        <v>168</v>
      </c>
      <c r="M32" s="10">
        <f>Resultados_Obtenidos!M32*(1+'Proyeccion esperada'!$J$9)</f>
        <v>168</v>
      </c>
      <c r="N32" s="10">
        <f>Resultados_Obtenidos!N32*(1+'Proyeccion esperada'!$J$9)</f>
        <v>168</v>
      </c>
      <c r="O32" s="10">
        <f t="shared" si="11"/>
        <v>2016</v>
      </c>
      <c r="P32" s="33"/>
    </row>
    <row r="33" spans="2:16" x14ac:dyDescent="0.3">
      <c r="B33" s="20" t="s">
        <v>34</v>
      </c>
      <c r="C33" s="21">
        <f>SUM(C34:C43)</f>
        <v>4105.5</v>
      </c>
      <c r="D33" s="21">
        <f t="shared" ref="D33:N33" si="17">SUM(D34:D43)</f>
        <v>4105.5</v>
      </c>
      <c r="E33" s="21">
        <f t="shared" si="17"/>
        <v>4105.5</v>
      </c>
      <c r="F33" s="21">
        <f t="shared" si="17"/>
        <v>4105.5</v>
      </c>
      <c r="G33" s="21">
        <f t="shared" si="17"/>
        <v>4105.5</v>
      </c>
      <c r="H33" s="21">
        <f t="shared" si="17"/>
        <v>4105.5</v>
      </c>
      <c r="I33" s="21">
        <f t="shared" si="17"/>
        <v>4105.5</v>
      </c>
      <c r="J33" s="21">
        <f t="shared" si="17"/>
        <v>4105.5</v>
      </c>
      <c r="K33" s="21">
        <f t="shared" si="17"/>
        <v>4105.5</v>
      </c>
      <c r="L33" s="21">
        <f t="shared" si="17"/>
        <v>4105.5</v>
      </c>
      <c r="M33" s="21">
        <f t="shared" si="17"/>
        <v>4105.5</v>
      </c>
      <c r="N33" s="21">
        <f t="shared" si="17"/>
        <v>4105.5</v>
      </c>
      <c r="O33" s="21">
        <f t="shared" si="11"/>
        <v>49266</v>
      </c>
      <c r="P33" s="33"/>
    </row>
    <row r="34" spans="2:16" x14ac:dyDescent="0.3">
      <c r="B34" s="9" t="s">
        <v>35</v>
      </c>
      <c r="C34" s="10">
        <f>Resultados_Obtenidos!C34*(1+'Proyeccion esperada'!$J$9)</f>
        <v>945</v>
      </c>
      <c r="D34" s="10">
        <f>Resultados_Obtenidos!D34*(1+'Proyeccion esperada'!$J$9)</f>
        <v>945</v>
      </c>
      <c r="E34" s="10">
        <f>Resultados_Obtenidos!E34*(1+'Proyeccion esperada'!$J$9)</f>
        <v>945</v>
      </c>
      <c r="F34" s="10">
        <f>Resultados_Obtenidos!F34*(1+'Proyeccion esperada'!$J$9)</f>
        <v>945</v>
      </c>
      <c r="G34" s="10">
        <f>Resultados_Obtenidos!G34*(1+'Proyeccion esperada'!$J$9)</f>
        <v>945</v>
      </c>
      <c r="H34" s="10">
        <f>Resultados_Obtenidos!H34*(1+'Proyeccion esperada'!$J$9)</f>
        <v>945</v>
      </c>
      <c r="I34" s="10">
        <f>Resultados_Obtenidos!I34*(1+'Proyeccion esperada'!$J$9)</f>
        <v>945</v>
      </c>
      <c r="J34" s="10">
        <f>Resultados_Obtenidos!J34*(1+'Proyeccion esperada'!$J$9)</f>
        <v>945</v>
      </c>
      <c r="K34" s="10">
        <f>Resultados_Obtenidos!K34*(1+'Proyeccion esperada'!$J$9)</f>
        <v>945</v>
      </c>
      <c r="L34" s="10">
        <f>Resultados_Obtenidos!L34*(1+'Proyeccion esperada'!$J$9)</f>
        <v>945</v>
      </c>
      <c r="M34" s="10">
        <f>Resultados_Obtenidos!M34*(1+'Proyeccion esperada'!$J$9)</f>
        <v>945</v>
      </c>
      <c r="N34" s="10">
        <f>Resultados_Obtenidos!N34*(1+'Proyeccion esperada'!$J$9)</f>
        <v>945</v>
      </c>
      <c r="O34" s="10">
        <f t="shared" si="11"/>
        <v>11340</v>
      </c>
      <c r="P34" s="33"/>
    </row>
    <row r="35" spans="2:16" x14ac:dyDescent="0.3">
      <c r="B35" s="9" t="s">
        <v>36</v>
      </c>
      <c r="C35" s="10">
        <f>Resultados_Obtenidos!C35*(1+'Proyeccion esperada'!$J$9)</f>
        <v>262.5</v>
      </c>
      <c r="D35" s="10">
        <f>Resultados_Obtenidos!D35*(1+'Proyeccion esperada'!$J$9)</f>
        <v>262.5</v>
      </c>
      <c r="E35" s="10">
        <f>Resultados_Obtenidos!E35*(1+'Proyeccion esperada'!$J$9)</f>
        <v>262.5</v>
      </c>
      <c r="F35" s="10">
        <f>Resultados_Obtenidos!F35*(1+'Proyeccion esperada'!$J$9)</f>
        <v>262.5</v>
      </c>
      <c r="G35" s="10">
        <f>Resultados_Obtenidos!G35*(1+'Proyeccion esperada'!$J$9)</f>
        <v>262.5</v>
      </c>
      <c r="H35" s="10">
        <f>Resultados_Obtenidos!H35*(1+'Proyeccion esperada'!$J$9)</f>
        <v>262.5</v>
      </c>
      <c r="I35" s="10">
        <f>Resultados_Obtenidos!I35*(1+'Proyeccion esperada'!$J$9)</f>
        <v>262.5</v>
      </c>
      <c r="J35" s="10">
        <f>Resultados_Obtenidos!J35*(1+'Proyeccion esperada'!$J$9)</f>
        <v>262.5</v>
      </c>
      <c r="K35" s="10">
        <f>Resultados_Obtenidos!K35*(1+'Proyeccion esperada'!$J$9)</f>
        <v>262.5</v>
      </c>
      <c r="L35" s="10">
        <f>Resultados_Obtenidos!L35*(1+'Proyeccion esperada'!$J$9)</f>
        <v>262.5</v>
      </c>
      <c r="M35" s="10">
        <f>Resultados_Obtenidos!M35*(1+'Proyeccion esperada'!$J$9)</f>
        <v>262.5</v>
      </c>
      <c r="N35" s="10">
        <f>Resultados_Obtenidos!N35*(1+'Proyeccion esperada'!$J$9)</f>
        <v>262.5</v>
      </c>
      <c r="O35" s="10">
        <f t="shared" si="11"/>
        <v>3150</v>
      </c>
      <c r="P35" s="33"/>
    </row>
    <row r="36" spans="2:16" x14ac:dyDescent="0.3">
      <c r="B36" s="9" t="s">
        <v>37</v>
      </c>
      <c r="C36" s="10">
        <f>Resultados_Obtenidos!C36*(1+'Proyeccion esperada'!$J$9)</f>
        <v>367.5</v>
      </c>
      <c r="D36" s="10">
        <f>Resultados_Obtenidos!D36*(1+'Proyeccion esperada'!$J$9)</f>
        <v>367.5</v>
      </c>
      <c r="E36" s="10">
        <f>Resultados_Obtenidos!E36*(1+'Proyeccion esperada'!$J$9)</f>
        <v>367.5</v>
      </c>
      <c r="F36" s="10">
        <f>Resultados_Obtenidos!F36*(1+'Proyeccion esperada'!$J$9)</f>
        <v>367.5</v>
      </c>
      <c r="G36" s="10">
        <f>Resultados_Obtenidos!G36*(1+'Proyeccion esperada'!$J$9)</f>
        <v>367.5</v>
      </c>
      <c r="H36" s="10">
        <f>Resultados_Obtenidos!H36*(1+'Proyeccion esperada'!$J$9)</f>
        <v>367.5</v>
      </c>
      <c r="I36" s="10">
        <f>Resultados_Obtenidos!I36*(1+'Proyeccion esperada'!$J$9)</f>
        <v>367.5</v>
      </c>
      <c r="J36" s="10">
        <f>Resultados_Obtenidos!J36*(1+'Proyeccion esperada'!$J$9)</f>
        <v>367.5</v>
      </c>
      <c r="K36" s="10">
        <f>Resultados_Obtenidos!K36*(1+'Proyeccion esperada'!$J$9)</f>
        <v>367.5</v>
      </c>
      <c r="L36" s="10">
        <f>Resultados_Obtenidos!L36*(1+'Proyeccion esperada'!$J$9)</f>
        <v>367.5</v>
      </c>
      <c r="M36" s="10">
        <f>Resultados_Obtenidos!M36*(1+'Proyeccion esperada'!$J$9)</f>
        <v>367.5</v>
      </c>
      <c r="N36" s="10">
        <f>Resultados_Obtenidos!N36*(1+'Proyeccion esperada'!$J$9)</f>
        <v>367.5</v>
      </c>
      <c r="O36" s="10">
        <f t="shared" si="11"/>
        <v>4410</v>
      </c>
      <c r="P36" s="33"/>
    </row>
    <row r="37" spans="2:16" x14ac:dyDescent="0.3">
      <c r="B37" s="9" t="s">
        <v>38</v>
      </c>
      <c r="C37" s="10">
        <f>Resultados_Obtenidos!C37*(1+'Proyeccion esperada'!$J$9)</f>
        <v>63</v>
      </c>
      <c r="D37" s="10">
        <f>Resultados_Obtenidos!D37*(1+'Proyeccion esperada'!$J$9)</f>
        <v>63</v>
      </c>
      <c r="E37" s="10">
        <f>Resultados_Obtenidos!E37*(1+'Proyeccion esperada'!$J$9)</f>
        <v>63</v>
      </c>
      <c r="F37" s="10">
        <f>Resultados_Obtenidos!F37*(1+'Proyeccion esperada'!$J$9)</f>
        <v>63</v>
      </c>
      <c r="G37" s="10">
        <f>Resultados_Obtenidos!G37*(1+'Proyeccion esperada'!$J$9)</f>
        <v>63</v>
      </c>
      <c r="H37" s="10">
        <f>Resultados_Obtenidos!H37*(1+'Proyeccion esperada'!$J$9)</f>
        <v>63</v>
      </c>
      <c r="I37" s="10">
        <f>Resultados_Obtenidos!I37*(1+'Proyeccion esperada'!$J$9)</f>
        <v>63</v>
      </c>
      <c r="J37" s="10">
        <f>Resultados_Obtenidos!J37*(1+'Proyeccion esperada'!$J$9)</f>
        <v>63</v>
      </c>
      <c r="K37" s="10">
        <f>Resultados_Obtenidos!K37*(1+'Proyeccion esperada'!$J$9)</f>
        <v>63</v>
      </c>
      <c r="L37" s="10">
        <f>Resultados_Obtenidos!L37*(1+'Proyeccion esperada'!$J$9)</f>
        <v>63</v>
      </c>
      <c r="M37" s="10">
        <f>Resultados_Obtenidos!M37*(1+'Proyeccion esperada'!$J$9)</f>
        <v>63</v>
      </c>
      <c r="N37" s="10">
        <f>Resultados_Obtenidos!N37*(1+'Proyeccion esperada'!$J$9)</f>
        <v>63</v>
      </c>
      <c r="O37" s="10">
        <f t="shared" si="11"/>
        <v>756</v>
      </c>
      <c r="P37" s="33"/>
    </row>
    <row r="38" spans="2:16" x14ac:dyDescent="0.3">
      <c r="B38" s="9" t="s">
        <v>39</v>
      </c>
      <c r="C38" s="10">
        <f>Resultados_Obtenidos!C38*(1+'Proyeccion esperada'!$J$9)</f>
        <v>42</v>
      </c>
      <c r="D38" s="10">
        <f>Resultados_Obtenidos!D38*(1+'Proyeccion esperada'!$J$9)</f>
        <v>42</v>
      </c>
      <c r="E38" s="10">
        <f>Resultados_Obtenidos!E38*(1+'Proyeccion esperada'!$J$9)</f>
        <v>42</v>
      </c>
      <c r="F38" s="10">
        <f>Resultados_Obtenidos!F38*(1+'Proyeccion esperada'!$J$9)</f>
        <v>42</v>
      </c>
      <c r="G38" s="10">
        <f>Resultados_Obtenidos!G38*(1+'Proyeccion esperada'!$J$9)</f>
        <v>42</v>
      </c>
      <c r="H38" s="10">
        <f>Resultados_Obtenidos!H38*(1+'Proyeccion esperada'!$J$9)</f>
        <v>42</v>
      </c>
      <c r="I38" s="10">
        <f>Resultados_Obtenidos!I38*(1+'Proyeccion esperada'!$J$9)</f>
        <v>42</v>
      </c>
      <c r="J38" s="10">
        <f>Resultados_Obtenidos!J38*(1+'Proyeccion esperada'!$J$9)</f>
        <v>42</v>
      </c>
      <c r="K38" s="10">
        <f>Resultados_Obtenidos!K38*(1+'Proyeccion esperada'!$J$9)</f>
        <v>42</v>
      </c>
      <c r="L38" s="10">
        <f>Resultados_Obtenidos!L38*(1+'Proyeccion esperada'!$J$9)</f>
        <v>42</v>
      </c>
      <c r="M38" s="10">
        <f>Resultados_Obtenidos!M38*(1+'Proyeccion esperada'!$J$9)</f>
        <v>42</v>
      </c>
      <c r="N38" s="10">
        <f>Resultados_Obtenidos!N38*(1+'Proyeccion esperada'!$J$9)</f>
        <v>42</v>
      </c>
      <c r="O38" s="10">
        <f t="shared" si="11"/>
        <v>504</v>
      </c>
      <c r="P38" s="33"/>
    </row>
    <row r="39" spans="2:16" x14ac:dyDescent="0.3">
      <c r="B39" s="9" t="s">
        <v>40</v>
      </c>
      <c r="C39" s="10">
        <f>Resultados_Obtenidos!C39*(1+'Proyeccion esperada'!$J$9)</f>
        <v>1260</v>
      </c>
      <c r="D39" s="10">
        <f>Resultados_Obtenidos!D39*(1+'Proyeccion esperada'!$J$9)</f>
        <v>1260</v>
      </c>
      <c r="E39" s="10">
        <f>Resultados_Obtenidos!E39*(1+'Proyeccion esperada'!$J$9)</f>
        <v>1260</v>
      </c>
      <c r="F39" s="10">
        <f>Resultados_Obtenidos!F39*(1+'Proyeccion esperada'!$J$9)</f>
        <v>1260</v>
      </c>
      <c r="G39" s="10">
        <f>Resultados_Obtenidos!G39*(1+'Proyeccion esperada'!$J$9)</f>
        <v>1260</v>
      </c>
      <c r="H39" s="10">
        <f>Resultados_Obtenidos!H39*(1+'Proyeccion esperada'!$J$9)</f>
        <v>1260</v>
      </c>
      <c r="I39" s="10">
        <f>Resultados_Obtenidos!I39*(1+'Proyeccion esperada'!$J$9)</f>
        <v>1260</v>
      </c>
      <c r="J39" s="10">
        <f>Resultados_Obtenidos!J39*(1+'Proyeccion esperada'!$J$9)</f>
        <v>1260</v>
      </c>
      <c r="K39" s="10">
        <f>Resultados_Obtenidos!K39*(1+'Proyeccion esperada'!$J$9)</f>
        <v>1260</v>
      </c>
      <c r="L39" s="10">
        <f>Resultados_Obtenidos!L39*(1+'Proyeccion esperada'!$J$9)</f>
        <v>1260</v>
      </c>
      <c r="M39" s="10">
        <f>Resultados_Obtenidos!M39*(1+'Proyeccion esperada'!$J$9)</f>
        <v>1260</v>
      </c>
      <c r="N39" s="10">
        <f>Resultados_Obtenidos!N39*(1+'Proyeccion esperada'!$J$9)</f>
        <v>1260</v>
      </c>
      <c r="O39" s="10">
        <f t="shared" si="11"/>
        <v>15120</v>
      </c>
      <c r="P39" s="33"/>
    </row>
    <row r="40" spans="2:16" x14ac:dyDescent="0.3">
      <c r="B40" s="9" t="s">
        <v>41</v>
      </c>
      <c r="C40" s="10">
        <f>Resultados_Obtenidos!C40*(1+'Proyeccion esperada'!$J$9)</f>
        <v>420</v>
      </c>
      <c r="D40" s="10">
        <f>Resultados_Obtenidos!D40*(1+'Proyeccion esperada'!$J$9)</f>
        <v>420</v>
      </c>
      <c r="E40" s="10">
        <f>Resultados_Obtenidos!E40*(1+'Proyeccion esperada'!$J$9)</f>
        <v>420</v>
      </c>
      <c r="F40" s="10">
        <f>Resultados_Obtenidos!F40*(1+'Proyeccion esperada'!$J$9)</f>
        <v>420</v>
      </c>
      <c r="G40" s="10">
        <f>Resultados_Obtenidos!G40*(1+'Proyeccion esperada'!$J$9)</f>
        <v>420</v>
      </c>
      <c r="H40" s="10">
        <f>Resultados_Obtenidos!H40*(1+'Proyeccion esperada'!$J$9)</f>
        <v>420</v>
      </c>
      <c r="I40" s="10">
        <f>Resultados_Obtenidos!I40*(1+'Proyeccion esperada'!$J$9)</f>
        <v>420</v>
      </c>
      <c r="J40" s="10">
        <f>Resultados_Obtenidos!J40*(1+'Proyeccion esperada'!$J$9)</f>
        <v>420</v>
      </c>
      <c r="K40" s="10">
        <f>Resultados_Obtenidos!K40*(1+'Proyeccion esperada'!$J$9)</f>
        <v>420</v>
      </c>
      <c r="L40" s="10">
        <f>Resultados_Obtenidos!L40*(1+'Proyeccion esperada'!$J$9)</f>
        <v>420</v>
      </c>
      <c r="M40" s="10">
        <f>Resultados_Obtenidos!M40*(1+'Proyeccion esperada'!$J$9)</f>
        <v>420</v>
      </c>
      <c r="N40" s="10">
        <f>Resultados_Obtenidos!N40*(1+'Proyeccion esperada'!$J$9)</f>
        <v>420</v>
      </c>
      <c r="O40" s="10">
        <f t="shared" si="11"/>
        <v>5040</v>
      </c>
      <c r="P40" s="33"/>
    </row>
    <row r="41" spans="2:16" x14ac:dyDescent="0.3">
      <c r="B41" s="9" t="s">
        <v>42</v>
      </c>
      <c r="C41" s="10">
        <f>Resultados_Obtenidos!C41*(1+'Proyeccion esperada'!$J$9)</f>
        <v>31.5</v>
      </c>
      <c r="D41" s="10">
        <f>Resultados_Obtenidos!D41*(1+'Proyeccion esperada'!$J$9)</f>
        <v>31.5</v>
      </c>
      <c r="E41" s="10">
        <f>Resultados_Obtenidos!E41*(1+'Proyeccion esperada'!$J$9)</f>
        <v>31.5</v>
      </c>
      <c r="F41" s="10">
        <f>Resultados_Obtenidos!F41*(1+'Proyeccion esperada'!$J$9)</f>
        <v>31.5</v>
      </c>
      <c r="G41" s="10">
        <f>Resultados_Obtenidos!G41*(1+'Proyeccion esperada'!$J$9)</f>
        <v>31.5</v>
      </c>
      <c r="H41" s="10">
        <f>Resultados_Obtenidos!H41*(1+'Proyeccion esperada'!$J$9)</f>
        <v>31.5</v>
      </c>
      <c r="I41" s="10">
        <f>Resultados_Obtenidos!I41*(1+'Proyeccion esperada'!$J$9)</f>
        <v>31.5</v>
      </c>
      <c r="J41" s="10">
        <f>Resultados_Obtenidos!J41*(1+'Proyeccion esperada'!$J$9)</f>
        <v>31.5</v>
      </c>
      <c r="K41" s="10">
        <f>Resultados_Obtenidos!K41*(1+'Proyeccion esperada'!$J$9)</f>
        <v>31.5</v>
      </c>
      <c r="L41" s="10">
        <f>Resultados_Obtenidos!L41*(1+'Proyeccion esperada'!$J$9)</f>
        <v>31.5</v>
      </c>
      <c r="M41" s="10">
        <f>Resultados_Obtenidos!M41*(1+'Proyeccion esperada'!$J$9)</f>
        <v>31.5</v>
      </c>
      <c r="N41" s="10">
        <f>Resultados_Obtenidos!N41*(1+'Proyeccion esperada'!$J$9)</f>
        <v>31.5</v>
      </c>
      <c r="O41" s="10">
        <f t="shared" si="11"/>
        <v>378</v>
      </c>
      <c r="P41" s="33"/>
    </row>
    <row r="42" spans="2:16" x14ac:dyDescent="0.3">
      <c r="B42" s="9" t="s">
        <v>43</v>
      </c>
      <c r="C42" s="10">
        <f>Resultados_Obtenidos!C42*(1+'Proyeccion esperada'!$J$9)</f>
        <v>682.5</v>
      </c>
      <c r="D42" s="10">
        <f>Resultados_Obtenidos!D42*(1+'Proyeccion esperada'!$J$9)</f>
        <v>682.5</v>
      </c>
      <c r="E42" s="10">
        <f>Resultados_Obtenidos!E42*(1+'Proyeccion esperada'!$J$9)</f>
        <v>682.5</v>
      </c>
      <c r="F42" s="10">
        <f>Resultados_Obtenidos!F42*(1+'Proyeccion esperada'!$J$9)</f>
        <v>682.5</v>
      </c>
      <c r="G42" s="10">
        <f>Resultados_Obtenidos!G42*(1+'Proyeccion esperada'!$J$9)</f>
        <v>682.5</v>
      </c>
      <c r="H42" s="10">
        <f>Resultados_Obtenidos!H42*(1+'Proyeccion esperada'!$J$9)</f>
        <v>682.5</v>
      </c>
      <c r="I42" s="10">
        <f>Resultados_Obtenidos!I42*(1+'Proyeccion esperada'!$J$9)</f>
        <v>682.5</v>
      </c>
      <c r="J42" s="10">
        <f>Resultados_Obtenidos!J42*(1+'Proyeccion esperada'!$J$9)</f>
        <v>682.5</v>
      </c>
      <c r="K42" s="10">
        <f>Resultados_Obtenidos!K42*(1+'Proyeccion esperada'!$J$9)</f>
        <v>682.5</v>
      </c>
      <c r="L42" s="10">
        <f>Resultados_Obtenidos!L42*(1+'Proyeccion esperada'!$J$9)</f>
        <v>682.5</v>
      </c>
      <c r="M42" s="10">
        <f>Resultados_Obtenidos!M42*(1+'Proyeccion esperada'!$J$9)</f>
        <v>682.5</v>
      </c>
      <c r="N42" s="10">
        <f>Resultados_Obtenidos!N42*(1+'Proyeccion esperada'!$J$9)</f>
        <v>682.5</v>
      </c>
      <c r="O42" s="10">
        <f t="shared" si="11"/>
        <v>8190</v>
      </c>
      <c r="P42" s="33"/>
    </row>
    <row r="43" spans="2:16" x14ac:dyDescent="0.3">
      <c r="B43" s="9" t="s">
        <v>44</v>
      </c>
      <c r="C43" s="10">
        <f>Resultados_Obtenidos!C43*(1+'Proyeccion esperada'!$J$9)</f>
        <v>31.5</v>
      </c>
      <c r="D43" s="10">
        <f>Resultados_Obtenidos!D43*(1+'Proyeccion esperada'!$J$9)</f>
        <v>31.5</v>
      </c>
      <c r="E43" s="10">
        <f>Resultados_Obtenidos!E43*(1+'Proyeccion esperada'!$J$9)</f>
        <v>31.5</v>
      </c>
      <c r="F43" s="10">
        <f>Resultados_Obtenidos!F43*(1+'Proyeccion esperada'!$J$9)</f>
        <v>31.5</v>
      </c>
      <c r="G43" s="10">
        <f>Resultados_Obtenidos!G43*(1+'Proyeccion esperada'!$J$9)</f>
        <v>31.5</v>
      </c>
      <c r="H43" s="10">
        <f>Resultados_Obtenidos!H43*(1+'Proyeccion esperada'!$J$9)</f>
        <v>31.5</v>
      </c>
      <c r="I43" s="10">
        <f>Resultados_Obtenidos!I43*(1+'Proyeccion esperada'!$J$9)</f>
        <v>31.5</v>
      </c>
      <c r="J43" s="10">
        <f>Resultados_Obtenidos!J43*(1+'Proyeccion esperada'!$J$9)</f>
        <v>31.5</v>
      </c>
      <c r="K43" s="10">
        <f>Resultados_Obtenidos!K43*(1+'Proyeccion esperada'!$J$9)</f>
        <v>31.5</v>
      </c>
      <c r="L43" s="10">
        <f>Resultados_Obtenidos!L43*(1+'Proyeccion esperada'!$J$9)</f>
        <v>31.5</v>
      </c>
      <c r="M43" s="10">
        <f>Resultados_Obtenidos!M43*(1+'Proyeccion esperada'!$J$9)</f>
        <v>31.5</v>
      </c>
      <c r="N43" s="10">
        <f>Resultados_Obtenidos!N43*(1+'Proyeccion esperada'!$J$9)</f>
        <v>31.5</v>
      </c>
      <c r="O43" s="10">
        <f t="shared" si="11"/>
        <v>378</v>
      </c>
      <c r="P43" s="33"/>
    </row>
    <row r="44" spans="2:16" x14ac:dyDescent="0.3">
      <c r="B44" s="163" t="s">
        <v>45</v>
      </c>
      <c r="C44" s="164">
        <v>2500</v>
      </c>
      <c r="D44" s="164">
        <v>2500</v>
      </c>
      <c r="E44" s="164">
        <v>2500</v>
      </c>
      <c r="F44" s="164">
        <v>2500</v>
      </c>
      <c r="G44" s="164">
        <v>2500</v>
      </c>
      <c r="H44" s="164">
        <v>2500</v>
      </c>
      <c r="I44" s="164">
        <v>2500</v>
      </c>
      <c r="J44" s="164">
        <v>2500</v>
      </c>
      <c r="K44" s="164">
        <v>2500</v>
      </c>
      <c r="L44" s="164">
        <v>2500</v>
      </c>
      <c r="M44" s="164">
        <v>2500</v>
      </c>
      <c r="N44" s="164">
        <v>2500</v>
      </c>
      <c r="O44" s="164">
        <f t="shared" si="11"/>
        <v>30000</v>
      </c>
      <c r="P44" s="33"/>
    </row>
    <row r="45" spans="2:16" x14ac:dyDescent="0.3">
      <c r="B45" s="12" t="s">
        <v>46</v>
      </c>
      <c r="C45" s="13">
        <f>C14-C15-C19-C26-C33-C44</f>
        <v>2955</v>
      </c>
      <c r="D45" s="13">
        <f t="shared" ref="D45:N45" si="18">D14-D15-D19-D26-D33-D44</f>
        <v>-445</v>
      </c>
      <c r="E45" s="13">
        <f t="shared" si="18"/>
        <v>8455</v>
      </c>
      <c r="F45" s="13">
        <f t="shared" si="18"/>
        <v>12905</v>
      </c>
      <c r="G45" s="13">
        <f t="shared" si="18"/>
        <v>17355</v>
      </c>
      <c r="H45" s="13">
        <f t="shared" si="18"/>
        <v>21805</v>
      </c>
      <c r="I45" s="13">
        <f t="shared" si="18"/>
        <v>25205</v>
      </c>
      <c r="J45" s="13">
        <f t="shared" si="18"/>
        <v>29655</v>
      </c>
      <c r="K45" s="13">
        <f t="shared" si="18"/>
        <v>17355</v>
      </c>
      <c r="L45" s="13">
        <f t="shared" si="18"/>
        <v>12905</v>
      </c>
      <c r="M45" s="13">
        <f t="shared" si="18"/>
        <v>8455</v>
      </c>
      <c r="N45" s="13">
        <f t="shared" si="18"/>
        <v>26755</v>
      </c>
      <c r="O45" s="13">
        <f>O14-O15-O19-O26-O33-O44</f>
        <v>183360</v>
      </c>
      <c r="P45" s="33"/>
    </row>
    <row r="46" spans="2:16" x14ac:dyDescent="0.3">
      <c r="B46" s="26" t="s">
        <v>47</v>
      </c>
      <c r="C46" s="27">
        <v>1600</v>
      </c>
      <c r="D46" s="27">
        <v>1600</v>
      </c>
      <c r="E46" s="27">
        <v>1600</v>
      </c>
      <c r="F46" s="27">
        <v>1600</v>
      </c>
      <c r="G46" s="27">
        <v>1600</v>
      </c>
      <c r="H46" s="27">
        <v>1600</v>
      </c>
      <c r="I46" s="27">
        <v>1600</v>
      </c>
      <c r="J46" s="27">
        <v>1600</v>
      </c>
      <c r="K46" s="27">
        <v>1600</v>
      </c>
      <c r="L46" s="27">
        <v>1600</v>
      </c>
      <c r="M46" s="27">
        <v>1600</v>
      </c>
      <c r="N46" s="27">
        <v>1600</v>
      </c>
      <c r="O46" s="27">
        <f t="shared" si="11"/>
        <v>19200</v>
      </c>
      <c r="P46" s="33"/>
    </row>
    <row r="47" spans="2:16" x14ac:dyDescent="0.3">
      <c r="B47" s="12" t="s">
        <v>48</v>
      </c>
      <c r="C47" s="13">
        <f>C45-C46</f>
        <v>1355</v>
      </c>
      <c r="D47" s="13">
        <f t="shared" ref="D47:O47" si="19">D45-D46</f>
        <v>-2045</v>
      </c>
      <c r="E47" s="13">
        <f t="shared" si="19"/>
        <v>6855</v>
      </c>
      <c r="F47" s="13">
        <f t="shared" si="19"/>
        <v>11305</v>
      </c>
      <c r="G47" s="13">
        <f t="shared" si="19"/>
        <v>15755</v>
      </c>
      <c r="H47" s="13">
        <f t="shared" si="19"/>
        <v>20205</v>
      </c>
      <c r="I47" s="13">
        <f t="shared" si="19"/>
        <v>23605</v>
      </c>
      <c r="J47" s="13">
        <f t="shared" si="19"/>
        <v>28055</v>
      </c>
      <c r="K47" s="13">
        <f t="shared" si="19"/>
        <v>15755</v>
      </c>
      <c r="L47" s="13">
        <f t="shared" si="19"/>
        <v>11305</v>
      </c>
      <c r="M47" s="13">
        <f t="shared" si="19"/>
        <v>6855</v>
      </c>
      <c r="N47" s="13">
        <f t="shared" si="19"/>
        <v>25155</v>
      </c>
      <c r="O47" s="13">
        <f t="shared" si="19"/>
        <v>164160</v>
      </c>
      <c r="P47" s="33"/>
    </row>
    <row r="49" spans="3:3" x14ac:dyDescent="0.3">
      <c r="C49" s="24"/>
    </row>
  </sheetData>
  <mergeCells count="1">
    <mergeCell ref="B1:O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
  <sheetViews>
    <sheetView showGridLines="0" zoomScale="95" zoomScaleNormal="95" workbookViewId="0">
      <selection activeCell="E40" sqref="E40"/>
    </sheetView>
  </sheetViews>
  <sheetFormatPr baseColWidth="10" defaultColWidth="9.109375" defaultRowHeight="14.4" x14ac:dyDescent="0.3"/>
  <cols>
    <col min="1" max="1" width="44" customWidth="1"/>
    <col min="2" max="14" width="12" customWidth="1"/>
  </cols>
  <sheetData>
    <row r="1" spans="1:15" ht="39.6" customHeight="1" x14ac:dyDescent="0.3">
      <c r="A1" s="245" t="s">
        <v>157</v>
      </c>
      <c r="B1" s="245"/>
      <c r="C1" s="245"/>
      <c r="D1" s="245"/>
      <c r="E1" s="245"/>
      <c r="F1" s="245"/>
      <c r="G1" s="245"/>
      <c r="H1" s="245"/>
      <c r="I1" s="245"/>
      <c r="J1" s="245"/>
      <c r="K1" s="245"/>
      <c r="L1" s="245"/>
      <c r="M1" s="245"/>
      <c r="N1" s="245"/>
    </row>
    <row r="2" spans="1:15" x14ac:dyDescent="0.3">
      <c r="A2" s="244" t="s">
        <v>123</v>
      </c>
      <c r="B2" s="244"/>
      <c r="C2" s="244"/>
      <c r="D2" s="244"/>
      <c r="E2" s="244"/>
      <c r="F2" s="244"/>
      <c r="G2" s="244"/>
      <c r="H2" s="244"/>
      <c r="I2" s="244"/>
      <c r="J2" s="244"/>
      <c r="K2" s="244"/>
      <c r="L2" s="244"/>
      <c r="M2" s="244"/>
      <c r="N2" s="244"/>
    </row>
    <row r="3" spans="1:15" ht="15.75" customHeight="1" thickBot="1" x14ac:dyDescent="0.35">
      <c r="A3" s="244"/>
      <c r="B3" s="244"/>
      <c r="C3" s="244"/>
      <c r="D3" s="244"/>
      <c r="E3" s="244"/>
      <c r="F3" s="244"/>
      <c r="G3" s="244"/>
      <c r="H3" s="244"/>
      <c r="I3" s="244"/>
      <c r="J3" s="244"/>
      <c r="K3" s="244"/>
      <c r="L3" s="244"/>
      <c r="M3" s="244"/>
      <c r="N3" s="244"/>
    </row>
    <row r="4" spans="1:15" ht="15" thickBot="1" x14ac:dyDescent="0.35">
      <c r="B4" s="246" t="s">
        <v>0</v>
      </c>
      <c r="C4" s="247"/>
      <c r="D4" s="247"/>
      <c r="E4" s="248"/>
      <c r="F4" s="246" t="s">
        <v>1</v>
      </c>
      <c r="G4" s="247"/>
      <c r="H4" s="247"/>
      <c r="I4" s="248"/>
      <c r="J4" s="246" t="s">
        <v>2</v>
      </c>
      <c r="K4" s="247"/>
      <c r="L4" s="247"/>
      <c r="M4" s="248"/>
    </row>
    <row r="5" spans="1:15" ht="15" thickBot="1" x14ac:dyDescent="0.35">
      <c r="A5" s="64" t="s">
        <v>54</v>
      </c>
      <c r="B5" s="66" t="s">
        <v>55</v>
      </c>
      <c r="C5" s="66" t="s">
        <v>56</v>
      </c>
      <c r="D5" s="66" t="s">
        <v>57</v>
      </c>
      <c r="E5" s="67" t="s">
        <v>58</v>
      </c>
      <c r="F5" s="65" t="s">
        <v>59</v>
      </c>
      <c r="G5" s="66" t="s">
        <v>60</v>
      </c>
      <c r="H5" s="66" t="s">
        <v>61</v>
      </c>
      <c r="I5" s="67" t="s">
        <v>62</v>
      </c>
      <c r="J5" s="65" t="s">
        <v>63</v>
      </c>
      <c r="K5" s="66" t="s">
        <v>64</v>
      </c>
      <c r="L5" s="66" t="s">
        <v>65</v>
      </c>
      <c r="M5" s="67" t="s">
        <v>66</v>
      </c>
      <c r="N5" s="90"/>
    </row>
    <row r="6" spans="1:15" ht="15" thickBot="1" x14ac:dyDescent="0.35">
      <c r="A6" s="239" t="s">
        <v>67</v>
      </c>
      <c r="B6" s="240"/>
      <c r="C6" s="240"/>
      <c r="D6" s="240"/>
      <c r="E6" s="240"/>
      <c r="F6" s="240"/>
      <c r="G6" s="240"/>
      <c r="H6" s="240"/>
      <c r="I6" s="240"/>
      <c r="J6" s="240"/>
      <c r="K6" s="240"/>
      <c r="L6" s="240"/>
      <c r="M6" s="240"/>
      <c r="N6" s="122"/>
    </row>
    <row r="7" spans="1:15" ht="15" thickBot="1" x14ac:dyDescent="0.35">
      <c r="A7" s="74" t="s">
        <v>122</v>
      </c>
      <c r="B7" s="115">
        <f>TESORERIA_2025!M76</f>
        <v>50000</v>
      </c>
      <c r="C7" s="95">
        <f>B29</f>
        <v>47686.933749999997</v>
      </c>
      <c r="D7" s="95">
        <f t="shared" ref="D7:I7" si="0">C29</f>
        <v>55128.766499999998</v>
      </c>
      <c r="E7" s="96">
        <f t="shared" si="0"/>
        <v>51215.700249999994</v>
      </c>
      <c r="F7" s="94">
        <f>E29</f>
        <v>55702.349999999991</v>
      </c>
      <c r="G7" s="95">
        <f t="shared" si="0"/>
        <v>53732.621249999989</v>
      </c>
      <c r="H7" s="95">
        <f t="shared" si="0"/>
        <v>60418.808999999987</v>
      </c>
      <c r="I7" s="96">
        <f t="shared" si="0"/>
        <v>56849.080249999985</v>
      </c>
      <c r="J7" s="94">
        <f>I29</f>
        <v>60618.199999999983</v>
      </c>
      <c r="K7" s="95">
        <f t="shared" ref="K7:M7" si="1">J29</f>
        <v>58819.383749999979</v>
      </c>
      <c r="L7" s="95">
        <f t="shared" si="1"/>
        <v>67347.191499999986</v>
      </c>
      <c r="M7" s="96">
        <f t="shared" si="1"/>
        <v>63948.375249999983</v>
      </c>
      <c r="N7" s="101"/>
    </row>
    <row r="8" spans="1:15" x14ac:dyDescent="0.3">
      <c r="A8" s="74" t="s">
        <v>105</v>
      </c>
      <c r="B8" s="97">
        <f>(('PRESUPUESTO 2026'!C3/2)/4)*1.21</f>
        <v>14308.25</v>
      </c>
      <c r="C8" s="76">
        <f>B8</f>
        <v>14308.25</v>
      </c>
      <c r="D8" s="76">
        <f>C8</f>
        <v>14308.25</v>
      </c>
      <c r="E8" s="78">
        <f t="shared" ref="E8" si="2">D8</f>
        <v>14308.25</v>
      </c>
      <c r="F8" s="97">
        <f>(('PRESUPUESTO 2026'!D3/2)/4)*1.21</f>
        <v>13476.375</v>
      </c>
      <c r="G8" s="76">
        <f>F8</f>
        <v>13476.375</v>
      </c>
      <c r="H8" s="76">
        <f>G8</f>
        <v>13476.375</v>
      </c>
      <c r="I8" s="78">
        <f t="shared" ref="I8" si="3">H8</f>
        <v>13476.375</v>
      </c>
      <c r="J8" s="97">
        <f>(('PRESUPUESTO 2026'!E3/2)/4)*1.21</f>
        <v>15140.125</v>
      </c>
      <c r="K8" s="76">
        <f>J8</f>
        <v>15140.125</v>
      </c>
      <c r="L8" s="76">
        <f>K8</f>
        <v>15140.125</v>
      </c>
      <c r="M8" s="78">
        <f t="shared" ref="M8" si="4">L8</f>
        <v>15140.125</v>
      </c>
      <c r="N8" s="69"/>
    </row>
    <row r="9" spans="1:15" ht="15" thickBot="1" x14ac:dyDescent="0.35">
      <c r="A9" s="75" t="s">
        <v>109</v>
      </c>
      <c r="B9" s="98">
        <f>SUM(B7:B8)</f>
        <v>64308.25</v>
      </c>
      <c r="C9" s="99">
        <f>SUM(C7:C8)</f>
        <v>61995.183749999997</v>
      </c>
      <c r="D9" s="99">
        <f t="shared" ref="D9:E9" si="5">SUM(D7:D8)</f>
        <v>69437.016499999998</v>
      </c>
      <c r="E9" s="100">
        <f t="shared" si="5"/>
        <v>65523.950249999994</v>
      </c>
      <c r="F9" s="98">
        <f t="shared" ref="F9" si="6">SUM(F7:F8)</f>
        <v>69178.724999999991</v>
      </c>
      <c r="G9" s="99">
        <f t="shared" ref="G9" si="7">SUM(G7:G8)</f>
        <v>67208.996249999997</v>
      </c>
      <c r="H9" s="99">
        <f t="shared" ref="H9" si="8">SUM(H7:H8)</f>
        <v>73895.183999999979</v>
      </c>
      <c r="I9" s="100">
        <f t="shared" ref="I9:L9" si="9">SUM(I7:I8)</f>
        <v>70325.455249999985</v>
      </c>
      <c r="J9" s="98">
        <f t="shared" si="9"/>
        <v>75758.324999999983</v>
      </c>
      <c r="K9" s="99">
        <f t="shared" si="9"/>
        <v>73959.508749999979</v>
      </c>
      <c r="L9" s="99">
        <f t="shared" si="9"/>
        <v>82487.316499999986</v>
      </c>
      <c r="M9" s="100">
        <f t="shared" ref="M9" si="10">SUM(M7:M8)</f>
        <v>79088.500249999983</v>
      </c>
      <c r="N9" s="91"/>
    </row>
    <row r="10" spans="1:15" ht="15" thickBot="1" x14ac:dyDescent="0.35">
      <c r="A10" s="79" t="s">
        <v>68</v>
      </c>
      <c r="B10" s="80"/>
      <c r="C10" s="80"/>
      <c r="D10" s="80"/>
      <c r="E10" s="80"/>
      <c r="F10" s="80"/>
      <c r="G10" s="80"/>
      <c r="H10" s="80"/>
      <c r="I10" s="80"/>
      <c r="J10" s="80"/>
      <c r="K10" s="80"/>
      <c r="L10" s="80"/>
      <c r="M10" s="80"/>
      <c r="N10" s="80"/>
    </row>
    <row r="11" spans="1:15" x14ac:dyDescent="0.3">
      <c r="A11" s="135" t="s">
        <v>119</v>
      </c>
      <c r="B11" s="137">
        <f>('PRESUPUESTO 2026'!C8*1.21)/2</f>
        <v>15665.264999999999</v>
      </c>
      <c r="C11" s="138">
        <v>0</v>
      </c>
      <c r="D11" s="138">
        <v>0</v>
      </c>
      <c r="E11" s="139">
        <v>0</v>
      </c>
      <c r="F11" s="137">
        <f>('PRESUPUESTO 2026'!D8*1.21)/2</f>
        <v>14490.0525</v>
      </c>
      <c r="G11" s="138">
        <v>0</v>
      </c>
      <c r="H11" s="138">
        <v>0</v>
      </c>
      <c r="I11" s="139">
        <v>0</v>
      </c>
      <c r="J11" s="137">
        <f>('PRESUPUESTO 2026'!E8*1.21)/2</f>
        <v>15982.89</v>
      </c>
      <c r="K11" s="138">
        <v>0</v>
      </c>
      <c r="L11" s="138">
        <v>0</v>
      </c>
      <c r="M11" s="139">
        <v>0</v>
      </c>
      <c r="N11" s="131"/>
    </row>
    <row r="12" spans="1:15" x14ac:dyDescent="0.3">
      <c r="A12" s="136" t="s">
        <v>120</v>
      </c>
      <c r="B12" s="140">
        <v>0</v>
      </c>
      <c r="C12" s="134">
        <v>0</v>
      </c>
      <c r="D12" s="134">
        <f>('PRESUPUESTO 2026'!C8*1.21)/2</f>
        <v>15665.264999999999</v>
      </c>
      <c r="E12" s="141">
        <v>0</v>
      </c>
      <c r="F12" s="140">
        <v>0</v>
      </c>
      <c r="G12" s="134">
        <v>0</v>
      </c>
      <c r="H12" s="134">
        <f>('PRESUPUESTO 2026'!D8*1.21)/2</f>
        <v>14490.0525</v>
      </c>
      <c r="I12" s="141">
        <v>0</v>
      </c>
      <c r="J12" s="140">
        <v>0</v>
      </c>
      <c r="K12" s="134">
        <v>0</v>
      </c>
      <c r="L12" s="134">
        <f>('PRESUPUESTO 2026'!E8*1.21)/2</f>
        <v>15982.89</v>
      </c>
      <c r="M12" s="141">
        <v>0</v>
      </c>
      <c r="N12" s="132"/>
      <c r="O12" s="77"/>
    </row>
    <row r="13" spans="1:15" x14ac:dyDescent="0.3">
      <c r="A13" s="146" t="s">
        <v>106</v>
      </c>
      <c r="B13" s="140">
        <v>0</v>
      </c>
      <c r="C13" s="134">
        <v>0</v>
      </c>
      <c r="D13" s="134">
        <v>0</v>
      </c>
      <c r="E13" s="141"/>
      <c r="F13" s="140">
        <v>0</v>
      </c>
      <c r="G13" s="134">
        <v>0</v>
      </c>
      <c r="H13" s="134">
        <v>0</v>
      </c>
      <c r="I13" s="141"/>
      <c r="J13" s="140">
        <v>0</v>
      </c>
      <c r="K13" s="134">
        <v>0</v>
      </c>
      <c r="L13" s="134">
        <v>0</v>
      </c>
      <c r="M13" s="141"/>
      <c r="N13" s="132"/>
    </row>
    <row r="14" spans="1:15" x14ac:dyDescent="0.3">
      <c r="A14" s="146" t="s">
        <v>118</v>
      </c>
      <c r="B14" s="140"/>
      <c r="C14" s="134">
        <v>0</v>
      </c>
      <c r="D14" s="134">
        <v>0</v>
      </c>
      <c r="E14" s="141">
        <v>0</v>
      </c>
      <c r="F14" s="140"/>
      <c r="G14" s="134">
        <v>0</v>
      </c>
      <c r="H14" s="134">
        <v>0</v>
      </c>
      <c r="I14" s="141">
        <v>0</v>
      </c>
      <c r="J14" s="140"/>
      <c r="K14" s="134">
        <v>0</v>
      </c>
      <c r="L14" s="134">
        <v>0</v>
      </c>
      <c r="M14" s="141">
        <v>0</v>
      </c>
      <c r="N14" s="132"/>
    </row>
    <row r="15" spans="1:15" x14ac:dyDescent="0.3">
      <c r="A15" s="136" t="s">
        <v>117</v>
      </c>
      <c r="B15" s="140">
        <v>0</v>
      </c>
      <c r="C15" s="134">
        <f>((SUM('PRESUPUESTO 2026'!C27:C32)+'PRESUPUESTO 2026'!C25+'PRESUPUESTO 2026'!C21+'PRESUPUESTO 2026'!C22)*1.21)*(2/5)</f>
        <v>5910.366</v>
      </c>
      <c r="D15" s="134">
        <v>0</v>
      </c>
      <c r="E15" s="141">
        <f>((SUM('PRESUPUESTO 2026'!C27:C32)+'PRESUPUESTO 2026'!C25+'PRESUPUESTO 2026'!C21+'PRESUPUESTO 2026'!C22)*1.21)*(3/5)</f>
        <v>8865.5489999999991</v>
      </c>
      <c r="F15" s="140">
        <v>0</v>
      </c>
      <c r="G15" s="134">
        <f>((SUM('PRESUPUESTO 2026'!D27:D32)+'PRESUPUESTO 2026'!D25+'PRESUPUESTO 2026'!D21+'PRESUPUESTO 2026'!D22)*1.21)*(2/5)</f>
        <v>5834.1360000000004</v>
      </c>
      <c r="H15" s="134">
        <v>0</v>
      </c>
      <c r="I15" s="141">
        <f>((SUM('PRESUPUESTO 2026'!D27:D32)+'PRESUPUESTO 2026'!D25+'PRESUPUESTO 2026'!D21+'PRESUPUESTO 2026'!D22)*1.21)*(3/5)</f>
        <v>8751.2039999999997</v>
      </c>
      <c r="J15" s="140">
        <v>0</v>
      </c>
      <c r="K15" s="134">
        <f>((SUM('PRESUPUESTO 2026'!E27:E32)+'PRESUPUESTO 2026'!E25+'PRESUPUESTO 2026'!E21+'PRESUPUESTO 2026'!E22)*1.21)*(2/5)</f>
        <v>5656.2659999999996</v>
      </c>
      <c r="L15" s="134">
        <v>0</v>
      </c>
      <c r="M15" s="141">
        <f>((SUM('PRESUPUESTO 2026'!E27:E32)+'PRESUPUESTO 2026'!E25+'PRESUPUESTO 2026'!E21+'PRESUPUESTO 2026'!E22)*1.21)*(3/5)</f>
        <v>8484.3989999999994</v>
      </c>
      <c r="N15" s="132"/>
    </row>
    <row r="16" spans="1:15" x14ac:dyDescent="0.3">
      <c r="A16" s="136" t="s">
        <v>116</v>
      </c>
      <c r="B16" s="140">
        <f>((SUM('PRESUPUESTO 2026'!C35:C43))*1.21)/4</f>
        <v>956.05124999999998</v>
      </c>
      <c r="C16" s="134">
        <f>((SUM('PRESUPUESTO 2026'!C35:C43))*1.21)/4</f>
        <v>956.05124999999998</v>
      </c>
      <c r="D16" s="134">
        <f>((SUM('PRESUPUESTO 2026'!C35:C43))*1.21)/4</f>
        <v>956.05124999999998</v>
      </c>
      <c r="E16" s="134">
        <f>((SUM('PRESUPUESTO 2026'!C35:C43))*1.21)/4</f>
        <v>956.05124999999998</v>
      </c>
      <c r="F16" s="140">
        <f>((SUM('PRESUPUESTO 2026'!D35:D43))*1.21)/4</f>
        <v>956.05124999999998</v>
      </c>
      <c r="G16" s="134">
        <f>((SUM('PRESUPUESTO 2026'!D35:D43))*1.21)/4</f>
        <v>956.05124999999998</v>
      </c>
      <c r="H16" s="134">
        <f>((SUM('PRESUPUESTO 2026'!D35:D43))*1.21)/4</f>
        <v>956.05124999999998</v>
      </c>
      <c r="I16" s="134">
        <f>((SUM('PRESUPUESTO 2026'!D35:D43))*1.21)/4</f>
        <v>956.05124999999998</v>
      </c>
      <c r="J16" s="140">
        <f>((SUM('PRESUPUESTO 2026'!E35:E43))*1.21)/4</f>
        <v>956.05124999999998</v>
      </c>
      <c r="K16" s="134">
        <f>((SUM('PRESUPUESTO 2026'!E35:E43))*1.21)/4</f>
        <v>956.05124999999998</v>
      </c>
      <c r="L16" s="134">
        <f>((SUM('PRESUPUESTO 2026'!E35:E43))*1.21)/4</f>
        <v>956.05124999999998</v>
      </c>
      <c r="M16" s="134">
        <f>((SUM('PRESUPUESTO 2026'!E35:E43))*1.21)/4</f>
        <v>956.05124999999998</v>
      </c>
      <c r="N16" s="132"/>
    </row>
    <row r="17" spans="1:14" ht="15" thickBot="1" x14ac:dyDescent="0.35">
      <c r="A17" s="145" t="s">
        <v>110</v>
      </c>
      <c r="B17" s="142"/>
      <c r="C17" s="143"/>
      <c r="D17" s="143"/>
      <c r="E17" s="144">
        <v>0</v>
      </c>
      <c r="F17" s="142"/>
      <c r="G17" s="143"/>
      <c r="H17" s="143"/>
      <c r="I17" s="144"/>
      <c r="J17" s="142"/>
      <c r="K17" s="143"/>
      <c r="L17" s="143"/>
      <c r="M17" s="144"/>
      <c r="N17" s="133"/>
    </row>
    <row r="18" spans="1:14" ht="15" thickBot="1" x14ac:dyDescent="0.35">
      <c r="A18" s="79" t="s">
        <v>69</v>
      </c>
      <c r="B18" s="80"/>
      <c r="C18" s="80"/>
      <c r="D18" s="80"/>
      <c r="E18" s="80"/>
      <c r="F18" s="80"/>
      <c r="G18" s="80"/>
      <c r="H18" s="80"/>
      <c r="I18" s="80"/>
      <c r="J18" s="80"/>
      <c r="K18" s="80"/>
      <c r="L18" s="80"/>
      <c r="M18" s="80"/>
      <c r="N18" s="80"/>
    </row>
    <row r="19" spans="1:14" x14ac:dyDescent="0.3">
      <c r="A19" s="68" t="s">
        <v>70</v>
      </c>
      <c r="B19" s="70">
        <f>IF(OR(1=3,1=7,1=11),#REF!, 0)</f>
        <v>0</v>
      </c>
      <c r="C19" s="71">
        <f>IF(OR(2=3,2=7,2=11),#REF!, 0)</f>
        <v>0</v>
      </c>
      <c r="D19" s="71">
        <f>'PRESUPUESTO 2026'!C46</f>
        <v>1600</v>
      </c>
      <c r="E19" s="72">
        <f>IF(OR(4=3,4=7,4=11),#REF!, 0)</f>
        <v>0</v>
      </c>
      <c r="F19" s="70">
        <f>IF(OR(1=3,1=7,1=11),#REF!, 0)</f>
        <v>0</v>
      </c>
      <c r="G19" s="71">
        <f>IF(OR(2=3,2=7,2=11),#REF!, 0)</f>
        <v>0</v>
      </c>
      <c r="H19" s="71">
        <f>'PRESUPUESTO 2026'!D46</f>
        <v>1600</v>
      </c>
      <c r="I19" s="72">
        <f>IF(OR(4=3,4=7,4=11),#REF!, 0)</f>
        <v>0</v>
      </c>
      <c r="J19" s="70">
        <f>IF(OR(1=3,1=7,1=11),#REF!, 0)</f>
        <v>0</v>
      </c>
      <c r="K19" s="71">
        <f>IF(OR(2=3,2=7,2=11),#REF!, 0)</f>
        <v>0</v>
      </c>
      <c r="L19" s="71">
        <f>'PRESUPUESTO 2026'!E46</f>
        <v>1600</v>
      </c>
      <c r="M19" s="72">
        <f>IF(OR(4=3,4=7,4=11),#REF!, 0)</f>
        <v>0</v>
      </c>
      <c r="N19" s="92"/>
    </row>
    <row r="20" spans="1:14" ht="15" thickBot="1" x14ac:dyDescent="0.35">
      <c r="A20" s="129" t="s">
        <v>71</v>
      </c>
      <c r="B20" s="81"/>
      <c r="C20" s="81"/>
      <c r="D20" s="81"/>
      <c r="E20" s="81"/>
      <c r="F20" s="81"/>
      <c r="G20" s="81"/>
      <c r="H20" s="81"/>
      <c r="I20" s="81"/>
      <c r="J20" s="81"/>
      <c r="K20" s="81"/>
      <c r="L20" s="81"/>
      <c r="M20" s="81"/>
      <c r="N20" s="81"/>
    </row>
    <row r="21" spans="1:14" ht="15" thickBot="1" x14ac:dyDescent="0.35">
      <c r="A21" s="130" t="s">
        <v>111</v>
      </c>
      <c r="B21" s="73">
        <f t="shared" ref="B21:I21" si="11">SUM(B11,B12,B13,B14,B15,B16,B17,B19)</f>
        <v>16621.31625</v>
      </c>
      <c r="C21" s="73">
        <f t="shared" si="11"/>
        <v>6866.4172500000004</v>
      </c>
      <c r="D21" s="73">
        <f t="shared" si="11"/>
        <v>18221.31625</v>
      </c>
      <c r="E21" s="73">
        <f t="shared" si="11"/>
        <v>9821.6002499999995</v>
      </c>
      <c r="F21" s="73">
        <f t="shared" si="11"/>
        <v>15446.10375</v>
      </c>
      <c r="G21" s="73">
        <f t="shared" si="11"/>
        <v>6790.1872500000009</v>
      </c>
      <c r="H21" s="73">
        <f t="shared" si="11"/>
        <v>17046.103750000002</v>
      </c>
      <c r="I21" s="73">
        <f t="shared" si="11"/>
        <v>9707.2552500000002</v>
      </c>
      <c r="J21" s="73">
        <f t="shared" ref="J21:M21" si="12">SUM(J11,J12,J13,J14,J15,J16,J17,J19)</f>
        <v>16938.94125</v>
      </c>
      <c r="K21" s="73">
        <f t="shared" si="12"/>
        <v>6612.3172500000001</v>
      </c>
      <c r="L21" s="73">
        <f t="shared" si="12"/>
        <v>18538.94125</v>
      </c>
      <c r="M21" s="73">
        <f t="shared" si="12"/>
        <v>9440.4502499999999</v>
      </c>
      <c r="N21" s="73"/>
    </row>
    <row r="22" spans="1:14" x14ac:dyDescent="0.3">
      <c r="D22" s="77">
        <f>+C15+E15+B16+C16+D16+E168+E16</f>
        <v>18600.12</v>
      </c>
      <c r="E22" s="77"/>
    </row>
    <row r="23" spans="1:14" ht="15" thickBot="1" x14ac:dyDescent="0.35"/>
    <row r="24" spans="1:14" ht="15" thickBot="1" x14ac:dyDescent="0.35">
      <c r="A24" s="110" t="s">
        <v>107</v>
      </c>
      <c r="B24" s="115">
        <f>B7</f>
        <v>50000</v>
      </c>
      <c r="C24" s="104">
        <f t="shared" ref="C24:F25" si="13">C7</f>
        <v>47686.933749999997</v>
      </c>
      <c r="D24" s="104">
        <f t="shared" si="13"/>
        <v>55128.766499999998</v>
      </c>
      <c r="E24" s="105">
        <f t="shared" si="13"/>
        <v>51215.700249999994</v>
      </c>
      <c r="F24" s="103">
        <f t="shared" si="13"/>
        <v>55702.349999999991</v>
      </c>
      <c r="G24" s="104">
        <f>F29</f>
        <v>53732.621249999989</v>
      </c>
      <c r="H24" s="104">
        <f>G29</f>
        <v>60418.808999999987</v>
      </c>
      <c r="I24" s="105">
        <f>H29</f>
        <v>56849.080249999985</v>
      </c>
      <c r="J24" s="103">
        <f>J7</f>
        <v>60618.199999999983</v>
      </c>
      <c r="K24" s="104">
        <f>J29</f>
        <v>58819.383749999979</v>
      </c>
      <c r="L24" s="104">
        <f>K29</f>
        <v>67347.191499999986</v>
      </c>
      <c r="M24" s="105">
        <f>L29</f>
        <v>63948.375249999983</v>
      </c>
      <c r="N24" s="104"/>
    </row>
    <row r="25" spans="1:14" ht="15" thickBot="1" x14ac:dyDescent="0.35">
      <c r="A25" s="111" t="s">
        <v>105</v>
      </c>
      <c r="B25" s="83">
        <f>B8</f>
        <v>14308.25</v>
      </c>
      <c r="C25" s="82">
        <f t="shared" si="13"/>
        <v>14308.25</v>
      </c>
      <c r="D25" s="82">
        <f t="shared" si="13"/>
        <v>14308.25</v>
      </c>
      <c r="E25" s="84">
        <f t="shared" si="13"/>
        <v>14308.25</v>
      </c>
      <c r="F25" s="83">
        <f t="shared" si="13"/>
        <v>13476.375</v>
      </c>
      <c r="G25" s="82">
        <f>G8</f>
        <v>13476.375</v>
      </c>
      <c r="H25" s="82">
        <f>H8</f>
        <v>13476.375</v>
      </c>
      <c r="I25" s="84">
        <f>I8</f>
        <v>13476.375</v>
      </c>
      <c r="J25" s="83">
        <f>J8</f>
        <v>15140.125</v>
      </c>
      <c r="K25" s="82">
        <f>K8</f>
        <v>15140.125</v>
      </c>
      <c r="L25" s="82">
        <f>L8</f>
        <v>15140.125</v>
      </c>
      <c r="M25" s="84">
        <f>M8</f>
        <v>15140.125</v>
      </c>
      <c r="N25" s="82"/>
    </row>
    <row r="26" spans="1:14" ht="15" thickBot="1" x14ac:dyDescent="0.35">
      <c r="A26" s="124" t="s">
        <v>108</v>
      </c>
      <c r="B26" s="125">
        <f t="shared" ref="B26:M26" si="14">B21</f>
        <v>16621.31625</v>
      </c>
      <c r="C26" s="126">
        <f t="shared" si="14"/>
        <v>6866.4172500000004</v>
      </c>
      <c r="D26" s="126">
        <f>D21</f>
        <v>18221.31625</v>
      </c>
      <c r="E26" s="127">
        <f t="shared" si="14"/>
        <v>9821.6002499999995</v>
      </c>
      <c r="F26" s="125">
        <f t="shared" si="14"/>
        <v>15446.10375</v>
      </c>
      <c r="G26" s="126">
        <f t="shared" si="14"/>
        <v>6790.1872500000009</v>
      </c>
      <c r="H26" s="126">
        <f t="shared" si="14"/>
        <v>17046.103750000002</v>
      </c>
      <c r="I26" s="127">
        <f t="shared" si="14"/>
        <v>9707.2552500000002</v>
      </c>
      <c r="J26" s="125">
        <f t="shared" si="14"/>
        <v>16938.94125</v>
      </c>
      <c r="K26" s="126">
        <f t="shared" si="14"/>
        <v>6612.3172500000001</v>
      </c>
      <c r="L26" s="126">
        <f t="shared" si="14"/>
        <v>18538.94125</v>
      </c>
      <c r="M26" s="127">
        <f t="shared" si="14"/>
        <v>9440.4502499999999</v>
      </c>
      <c r="N26" s="102"/>
    </row>
    <row r="27" spans="1:14" ht="15" thickBot="1" x14ac:dyDescent="0.35">
      <c r="A27" s="123" t="s">
        <v>113</v>
      </c>
      <c r="B27" s="83">
        <f>B25-B26</f>
        <v>-2313.0662499999999</v>
      </c>
      <c r="C27" s="83">
        <f t="shared" ref="C27:F27" si="15">C25-C26</f>
        <v>7441.8327499999996</v>
      </c>
      <c r="D27" s="83">
        <f t="shared" si="15"/>
        <v>-3913.0662499999999</v>
      </c>
      <c r="E27" s="83">
        <f t="shared" si="15"/>
        <v>4486.6497500000005</v>
      </c>
      <c r="F27" s="83">
        <f t="shared" si="15"/>
        <v>-1969.7287500000002</v>
      </c>
      <c r="G27" s="83">
        <f>G25-G26</f>
        <v>6686.1877499999991</v>
      </c>
      <c r="H27" s="83">
        <f t="shared" ref="H27" si="16">H25-H26</f>
        <v>-3569.728750000002</v>
      </c>
      <c r="I27" s="83">
        <f t="shared" ref="I27:J27" si="17">I25-I26</f>
        <v>3769.1197499999998</v>
      </c>
      <c r="J27" s="83">
        <f t="shared" si="17"/>
        <v>-1798.8162499999999</v>
      </c>
      <c r="K27" s="83">
        <f t="shared" ref="K27" si="18">K25-K26</f>
        <v>8527.8077499999999</v>
      </c>
      <c r="L27" s="83">
        <f t="shared" ref="L27" si="19">L25-L26</f>
        <v>-3398.8162499999999</v>
      </c>
      <c r="M27" s="83">
        <f t="shared" ref="M27" si="20">M25-M26</f>
        <v>5699.6747500000001</v>
      </c>
      <c r="N27" s="82"/>
    </row>
    <row r="28" spans="1:14" ht="15" thickBot="1" x14ac:dyDescent="0.35">
      <c r="A28" s="124" t="s">
        <v>112</v>
      </c>
      <c r="B28" s="125">
        <v>0</v>
      </c>
      <c r="C28" s="126"/>
      <c r="D28" s="126"/>
      <c r="E28" s="127">
        <v>0</v>
      </c>
      <c r="F28" s="125"/>
      <c r="G28" s="126"/>
      <c r="H28" s="126"/>
      <c r="I28" s="127"/>
      <c r="J28" s="125"/>
      <c r="K28" s="126"/>
      <c r="L28" s="126"/>
      <c r="M28" s="127"/>
      <c r="N28" s="93"/>
    </row>
    <row r="29" spans="1:14" ht="15" thickBot="1" x14ac:dyDescent="0.35">
      <c r="A29" s="85" t="s">
        <v>114</v>
      </c>
      <c r="B29" s="128">
        <f>B24+B27+B28</f>
        <v>47686.933749999997</v>
      </c>
      <c r="C29" s="128">
        <f t="shared" ref="C29:E29" si="21">C24+C27+C28</f>
        <v>55128.766499999998</v>
      </c>
      <c r="D29" s="128">
        <f t="shared" si="21"/>
        <v>51215.700249999994</v>
      </c>
      <c r="E29" s="128">
        <f t="shared" si="21"/>
        <v>55702.349999999991</v>
      </c>
      <c r="F29" s="128">
        <f t="shared" ref="F29:M29" si="22">F24+F27-F28</f>
        <v>53732.621249999989</v>
      </c>
      <c r="G29" s="128">
        <f t="shared" si="22"/>
        <v>60418.808999999987</v>
      </c>
      <c r="H29" s="128">
        <f t="shared" si="22"/>
        <v>56849.080249999985</v>
      </c>
      <c r="I29" s="128">
        <f t="shared" si="22"/>
        <v>60618.199999999983</v>
      </c>
      <c r="J29" s="128">
        <f t="shared" si="22"/>
        <v>58819.383749999979</v>
      </c>
      <c r="K29" s="128">
        <f t="shared" si="22"/>
        <v>67347.191499999986</v>
      </c>
      <c r="L29" s="128">
        <f t="shared" si="22"/>
        <v>63948.375249999983</v>
      </c>
      <c r="M29" s="128">
        <f t="shared" si="22"/>
        <v>69648.049999999988</v>
      </c>
      <c r="N29" s="86"/>
    </row>
    <row r="31" spans="1:14" x14ac:dyDescent="0.3">
      <c r="B31" s="77">
        <f>B24+C31</f>
        <v>55702.35</v>
      </c>
      <c r="C31" s="77">
        <f>SUM(B27:E27)</f>
        <v>5702.35</v>
      </c>
      <c r="E31" s="77"/>
      <c r="F31" s="77">
        <f>SUM(B25:E25)+SUM('Tesorería_3 meses B2'!B25:E25)</f>
        <v>114466</v>
      </c>
    </row>
    <row r="32" spans="1:14" ht="15" thickBot="1" x14ac:dyDescent="0.35">
      <c r="F32" s="77">
        <f>SUM(B26:E26)+SUM('Tesorería_3 meses B2'!B26:E26)</f>
        <v>100660.65000000001</v>
      </c>
      <c r="G32" s="77"/>
      <c r="H32" s="77"/>
    </row>
    <row r="33" spans="1:13" ht="18.600000000000001" thickBot="1" x14ac:dyDescent="0.35">
      <c r="A33" s="241" t="s">
        <v>115</v>
      </c>
      <c r="B33" s="242"/>
      <c r="C33" s="242"/>
      <c r="D33" s="242"/>
      <c r="E33" s="242"/>
      <c r="F33" s="242"/>
      <c r="G33" s="242"/>
      <c r="H33" s="242"/>
      <c r="I33" s="242"/>
      <c r="J33" s="242"/>
      <c r="K33" s="242"/>
      <c r="L33" s="242"/>
      <c r="M33" s="243"/>
    </row>
    <row r="34" spans="1:13" x14ac:dyDescent="0.3">
      <c r="A34" s="112" t="s">
        <v>85</v>
      </c>
      <c r="B34" s="106">
        <f t="shared" ref="B34:M34" si="23">B8-(B8/1.21)</f>
        <v>2483.25</v>
      </c>
      <c r="C34" s="106">
        <f t="shared" si="23"/>
        <v>2483.25</v>
      </c>
      <c r="D34" s="106">
        <f t="shared" si="23"/>
        <v>2483.25</v>
      </c>
      <c r="E34" s="106">
        <f t="shared" si="23"/>
        <v>2483.25</v>
      </c>
      <c r="F34" s="106">
        <f t="shared" si="23"/>
        <v>2338.875</v>
      </c>
      <c r="G34" s="106">
        <f t="shared" si="23"/>
        <v>2338.875</v>
      </c>
      <c r="H34" s="106">
        <f t="shared" si="23"/>
        <v>2338.875</v>
      </c>
      <c r="I34" s="106">
        <f t="shared" si="23"/>
        <v>2338.875</v>
      </c>
      <c r="J34" s="106">
        <f t="shared" si="23"/>
        <v>2627.625</v>
      </c>
      <c r="K34" s="106">
        <f t="shared" si="23"/>
        <v>2627.625</v>
      </c>
      <c r="L34" s="106">
        <f t="shared" si="23"/>
        <v>2627.625</v>
      </c>
      <c r="M34" s="107">
        <f t="shared" si="23"/>
        <v>2627.625</v>
      </c>
    </row>
    <row r="35" spans="1:13" ht="15" thickBot="1" x14ac:dyDescent="0.35">
      <c r="A35" s="113" t="s">
        <v>84</v>
      </c>
      <c r="B35" s="108">
        <f>(B11+B12+B15+B16)-((B11+B12+B15+B16)/1.21)</f>
        <v>2884.6912499999999</v>
      </c>
      <c r="C35" s="108">
        <f>(C11+C12+C15+C16)-((C11+C12+C15+C16)/1.21)</f>
        <v>1191.6922500000001</v>
      </c>
      <c r="D35" s="108">
        <f t="shared" ref="D35:M35" si="24">(D11+D12+D15+D16)-((D11+D12+D15+D16)/1.21)</f>
        <v>2884.6912499999999</v>
      </c>
      <c r="E35" s="108">
        <f>(E11+E12+E15+E16)-((E11+E12+E15+E16)/1.21)</f>
        <v>1704.5752499999999</v>
      </c>
      <c r="F35" s="108">
        <f t="shared" si="24"/>
        <v>2680.7287500000002</v>
      </c>
      <c r="G35" s="108">
        <f t="shared" si="24"/>
        <v>1178.4622499999996</v>
      </c>
      <c r="H35" s="108">
        <f t="shared" si="24"/>
        <v>2680.7287500000002</v>
      </c>
      <c r="I35" s="108">
        <f t="shared" si="24"/>
        <v>1684.7302499999996</v>
      </c>
      <c r="J35" s="108">
        <f t="shared" si="24"/>
        <v>2939.8162499999999</v>
      </c>
      <c r="K35" s="108">
        <f t="shared" si="24"/>
        <v>1147.5922499999997</v>
      </c>
      <c r="L35" s="108">
        <f t="shared" si="24"/>
        <v>2939.8162499999999</v>
      </c>
      <c r="M35" s="109">
        <f t="shared" si="24"/>
        <v>1638.4252499999993</v>
      </c>
    </row>
    <row r="36" spans="1:13" ht="15" thickBot="1" x14ac:dyDescent="0.35">
      <c r="A36" s="114" t="s">
        <v>121</v>
      </c>
      <c r="B36" s="108">
        <f>B34-B35+B30</f>
        <v>-401.44124999999985</v>
      </c>
      <c r="C36" s="108">
        <f>B36+C34-C35</f>
        <v>890.11650000000009</v>
      </c>
      <c r="D36" s="108">
        <f t="shared" ref="D36:E36" si="25">C36+D34-D35</f>
        <v>488.67525000000023</v>
      </c>
      <c r="E36" s="108">
        <f t="shared" si="25"/>
        <v>1267.3500000000004</v>
      </c>
      <c r="F36" s="108">
        <f>E36+F34-F35</f>
        <v>925.49625000000015</v>
      </c>
      <c r="G36" s="108">
        <f t="shared" ref="G36:L36" si="26">F36+G34-G35</f>
        <v>2085.9090000000006</v>
      </c>
      <c r="H36" s="108">
        <f t="shared" si="26"/>
        <v>1744.0552500000003</v>
      </c>
      <c r="I36" s="108">
        <f t="shared" si="26"/>
        <v>2398.2000000000007</v>
      </c>
      <c r="J36" s="108">
        <f t="shared" si="26"/>
        <v>2086.0087500000009</v>
      </c>
      <c r="K36" s="108">
        <f t="shared" si="26"/>
        <v>3566.0415000000012</v>
      </c>
      <c r="L36" s="108">
        <f t="shared" si="26"/>
        <v>3253.8502500000013</v>
      </c>
      <c r="M36" s="89">
        <f>L36+M34-M35</f>
        <v>4243.050000000002</v>
      </c>
    </row>
  </sheetData>
  <mergeCells count="7">
    <mergeCell ref="A6:M6"/>
    <mergeCell ref="A33:M33"/>
    <mergeCell ref="A2:N3"/>
    <mergeCell ref="A1:N1"/>
    <mergeCell ref="B4:E4"/>
    <mergeCell ref="F4:I4"/>
    <mergeCell ref="J4:M4"/>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F0D4-780D-4B1A-8C13-E8579106A427}">
  <dimension ref="A1:M36"/>
  <sheetViews>
    <sheetView showGridLines="0" zoomScaleNormal="100" workbookViewId="0">
      <selection activeCell="D41" sqref="D41"/>
    </sheetView>
  </sheetViews>
  <sheetFormatPr baseColWidth="10" defaultColWidth="9.109375" defaultRowHeight="14.4" x14ac:dyDescent="0.3"/>
  <cols>
    <col min="1" max="1" width="44" customWidth="1"/>
    <col min="2" max="13" width="12" customWidth="1"/>
  </cols>
  <sheetData>
    <row r="1" spans="1:13" ht="34.799999999999997" customHeight="1" x14ac:dyDescent="0.3">
      <c r="A1" s="252" t="s">
        <v>156</v>
      </c>
      <c r="B1" s="252"/>
      <c r="C1" s="252"/>
      <c r="D1" s="252"/>
      <c r="E1" s="252"/>
      <c r="F1" s="252"/>
      <c r="G1" s="252"/>
      <c r="H1" s="252"/>
      <c r="I1" s="252"/>
      <c r="J1" s="252"/>
      <c r="K1" s="252"/>
      <c r="L1" s="252"/>
      <c r="M1" s="252"/>
    </row>
    <row r="2" spans="1:13" x14ac:dyDescent="0.3">
      <c r="A2" s="244" t="s">
        <v>123</v>
      </c>
      <c r="B2" s="244"/>
      <c r="C2" s="244"/>
      <c r="D2" s="244"/>
      <c r="E2" s="244"/>
      <c r="F2" s="244"/>
      <c r="G2" s="244"/>
      <c r="H2" s="244"/>
      <c r="I2" s="244"/>
      <c r="J2" s="244"/>
      <c r="K2" s="244"/>
      <c r="L2" s="244"/>
      <c r="M2" s="244"/>
    </row>
    <row r="3" spans="1:13" ht="15.75" customHeight="1" thickBot="1" x14ac:dyDescent="0.35">
      <c r="A3" s="244"/>
      <c r="B3" s="244"/>
      <c r="C3" s="244"/>
      <c r="D3" s="244"/>
      <c r="E3" s="244"/>
      <c r="F3" s="244"/>
      <c r="G3" s="244"/>
      <c r="H3" s="244"/>
      <c r="I3" s="244"/>
      <c r="J3" s="244"/>
      <c r="K3" s="244"/>
      <c r="L3" s="244"/>
      <c r="M3" s="244"/>
    </row>
    <row r="4" spans="1:13" ht="15" thickBot="1" x14ac:dyDescent="0.35">
      <c r="B4" s="246" t="s">
        <v>0</v>
      </c>
      <c r="C4" s="247"/>
      <c r="D4" s="247"/>
      <c r="E4" s="248"/>
      <c r="F4" s="246" t="s">
        <v>1</v>
      </c>
      <c r="G4" s="247"/>
      <c r="H4" s="247"/>
      <c r="I4" s="248"/>
      <c r="J4" s="246" t="s">
        <v>2</v>
      </c>
      <c r="K4" s="247"/>
      <c r="L4" s="247"/>
      <c r="M4" s="248"/>
    </row>
    <row r="5" spans="1:13" ht="15" thickBot="1" x14ac:dyDescent="0.35">
      <c r="A5" s="64" t="s">
        <v>54</v>
      </c>
      <c r="B5" s="66" t="s">
        <v>55</v>
      </c>
      <c r="C5" s="66" t="s">
        <v>56</v>
      </c>
      <c r="D5" s="66" t="s">
        <v>57</v>
      </c>
      <c r="E5" s="67" t="s">
        <v>58</v>
      </c>
      <c r="F5" s="65" t="s">
        <v>59</v>
      </c>
      <c r="G5" s="66" t="s">
        <v>60</v>
      </c>
      <c r="H5" s="66" t="s">
        <v>61</v>
      </c>
      <c r="I5" s="67" t="s">
        <v>62</v>
      </c>
      <c r="J5" s="65" t="s">
        <v>63</v>
      </c>
      <c r="K5" s="66" t="s">
        <v>64</v>
      </c>
      <c r="L5" s="66" t="s">
        <v>65</v>
      </c>
      <c r="M5" s="67" t="s">
        <v>66</v>
      </c>
    </row>
    <row r="6" spans="1:13" ht="15" thickBot="1" x14ac:dyDescent="0.35">
      <c r="A6" s="239" t="s">
        <v>153</v>
      </c>
      <c r="B6" s="240"/>
      <c r="C6" s="240"/>
      <c r="D6" s="240"/>
      <c r="E6" s="240"/>
      <c r="F6" s="240"/>
      <c r="G6" s="240"/>
      <c r="H6" s="240"/>
      <c r="I6" s="240"/>
      <c r="J6" s="240"/>
      <c r="K6" s="240"/>
      <c r="L6" s="240"/>
      <c r="M6" s="240"/>
    </row>
    <row r="7" spans="1:13" ht="15" thickBot="1" x14ac:dyDescent="0.35">
      <c r="A7" s="171" t="s">
        <v>152</v>
      </c>
      <c r="B7" s="172">
        <f>B24</f>
        <v>169905</v>
      </c>
      <c r="C7" s="173">
        <f>B29</f>
        <v>139483.25</v>
      </c>
      <c r="D7" s="173">
        <f t="shared" ref="D7:M7" si="0">C29</f>
        <v>153791.5</v>
      </c>
      <c r="E7" s="174">
        <f t="shared" si="0"/>
        <v>166849.75</v>
      </c>
      <c r="F7" s="175">
        <f t="shared" si="0"/>
        <v>140103</v>
      </c>
      <c r="G7" s="173">
        <f t="shared" si="0"/>
        <v>146754.375</v>
      </c>
      <c r="H7" s="173">
        <f t="shared" si="0"/>
        <v>160230.75</v>
      </c>
      <c r="I7" s="174">
        <f t="shared" si="0"/>
        <v>172457.125</v>
      </c>
      <c r="J7" s="175">
        <f t="shared" si="0"/>
        <v>144878.5</v>
      </c>
      <c r="K7" s="173">
        <f t="shared" si="0"/>
        <v>153193.625</v>
      </c>
      <c r="L7" s="173">
        <f t="shared" si="0"/>
        <v>168333.75</v>
      </c>
      <c r="M7" s="174">
        <f t="shared" si="0"/>
        <v>183473.875</v>
      </c>
    </row>
    <row r="8" spans="1:13" x14ac:dyDescent="0.3">
      <c r="A8" s="171" t="s">
        <v>105</v>
      </c>
      <c r="B8" s="176">
        <f>(('PRESUPUESTO 2026'!C3/2)/4)*1.21</f>
        <v>14308.25</v>
      </c>
      <c r="C8" s="177">
        <f>B8</f>
        <v>14308.25</v>
      </c>
      <c r="D8" s="177">
        <f>C8</f>
        <v>14308.25</v>
      </c>
      <c r="E8" s="178">
        <f t="shared" ref="E8" si="1">D8</f>
        <v>14308.25</v>
      </c>
      <c r="F8" s="176">
        <f>(('PRESUPUESTO 2026'!D3/2)/4)*1.21</f>
        <v>13476.375</v>
      </c>
      <c r="G8" s="177">
        <f t="shared" ref="G8:H8" si="2">F8</f>
        <v>13476.375</v>
      </c>
      <c r="H8" s="177">
        <f t="shared" si="2"/>
        <v>13476.375</v>
      </c>
      <c r="I8" s="178">
        <f t="shared" ref="I8" si="3">H8</f>
        <v>13476.375</v>
      </c>
      <c r="J8" s="176">
        <f>(('PRESUPUESTO 2026'!E3/2)/4)*1.21</f>
        <v>15140.125</v>
      </c>
      <c r="K8" s="177">
        <f t="shared" ref="K8:L8" si="4">J8</f>
        <v>15140.125</v>
      </c>
      <c r="L8" s="177">
        <f t="shared" si="4"/>
        <v>15140.125</v>
      </c>
      <c r="M8" s="178">
        <f t="shared" ref="M8" si="5">L8</f>
        <v>15140.125</v>
      </c>
    </row>
    <row r="9" spans="1:13" ht="15" thickBot="1" x14ac:dyDescent="0.35">
      <c r="A9" s="179" t="s">
        <v>109</v>
      </c>
      <c r="B9" s="180">
        <f>SUM(B7:B8)</f>
        <v>184213.25</v>
      </c>
      <c r="C9" s="181">
        <f t="shared" ref="C9:M9" si="6">SUM(C7:C8)</f>
        <v>153791.5</v>
      </c>
      <c r="D9" s="181">
        <f t="shared" si="6"/>
        <v>168099.75</v>
      </c>
      <c r="E9" s="182">
        <f t="shared" si="6"/>
        <v>181158</v>
      </c>
      <c r="F9" s="180">
        <f t="shared" si="6"/>
        <v>153579.375</v>
      </c>
      <c r="G9" s="181">
        <f t="shared" si="6"/>
        <v>160230.75</v>
      </c>
      <c r="H9" s="181">
        <f t="shared" si="6"/>
        <v>173707.125</v>
      </c>
      <c r="I9" s="182">
        <f t="shared" si="6"/>
        <v>185933.5</v>
      </c>
      <c r="J9" s="180">
        <f t="shared" si="6"/>
        <v>160018.625</v>
      </c>
      <c r="K9" s="181">
        <f t="shared" si="6"/>
        <v>168333.75</v>
      </c>
      <c r="L9" s="181">
        <f t="shared" si="6"/>
        <v>183473.875</v>
      </c>
      <c r="M9" s="182">
        <f t="shared" si="6"/>
        <v>198614</v>
      </c>
    </row>
    <row r="10" spans="1:13" ht="15" thickBot="1" x14ac:dyDescent="0.35">
      <c r="A10" s="183" t="s">
        <v>154</v>
      </c>
      <c r="B10" s="184"/>
      <c r="C10" s="184"/>
      <c r="D10" s="184"/>
      <c r="E10" s="184"/>
      <c r="F10" s="184"/>
      <c r="G10" s="184"/>
      <c r="H10" s="184"/>
      <c r="I10" s="184"/>
      <c r="J10" s="184"/>
      <c r="K10" s="184"/>
      <c r="L10" s="184"/>
      <c r="M10" s="184"/>
    </row>
    <row r="11" spans="1:13" x14ac:dyDescent="0.3">
      <c r="A11" s="185" t="s">
        <v>119</v>
      </c>
      <c r="B11" s="186"/>
      <c r="C11" s="187">
        <v>0</v>
      </c>
      <c r="D11" s="187">
        <v>1250</v>
      </c>
      <c r="E11" s="188">
        <v>0</v>
      </c>
      <c r="F11" s="186"/>
      <c r="G11" s="187">
        <v>0</v>
      </c>
      <c r="H11" s="187">
        <v>1250</v>
      </c>
      <c r="I11" s="188">
        <v>0</v>
      </c>
      <c r="J11" s="186"/>
      <c r="K11" s="187">
        <v>0</v>
      </c>
      <c r="L11" s="187">
        <v>0</v>
      </c>
      <c r="M11" s="188">
        <v>0</v>
      </c>
    </row>
    <row r="12" spans="1:13" x14ac:dyDescent="0.3">
      <c r="A12" s="189" t="s">
        <v>120</v>
      </c>
      <c r="B12" s="190">
        <v>0</v>
      </c>
      <c r="C12" s="191">
        <v>0</v>
      </c>
      <c r="D12" s="191"/>
      <c r="E12" s="192">
        <v>0</v>
      </c>
      <c r="F12" s="190">
        <v>0</v>
      </c>
      <c r="G12" s="191">
        <v>0</v>
      </c>
      <c r="H12" s="191"/>
      <c r="I12" s="192">
        <v>0</v>
      </c>
      <c r="J12" s="190">
        <v>0</v>
      </c>
      <c r="K12" s="191">
        <v>0</v>
      </c>
      <c r="L12" s="191"/>
      <c r="M12" s="192">
        <v>0</v>
      </c>
    </row>
    <row r="13" spans="1:13" x14ac:dyDescent="0.3">
      <c r="A13" s="193" t="s">
        <v>106</v>
      </c>
      <c r="B13" s="190">
        <v>0</v>
      </c>
      <c r="C13" s="191">
        <v>0</v>
      </c>
      <c r="D13" s="191">
        <v>0</v>
      </c>
      <c r="E13" s="192">
        <f>'PRESUPUESTO 2026'!C15</f>
        <v>39375</v>
      </c>
      <c r="F13" s="190">
        <v>0</v>
      </c>
      <c r="G13" s="191">
        <v>0</v>
      </c>
      <c r="H13" s="191">
        <v>0</v>
      </c>
      <c r="I13" s="192">
        <f>'PRESUPUESTO 2026'!D15</f>
        <v>39375</v>
      </c>
      <c r="J13" s="190">
        <v>0</v>
      </c>
      <c r="K13" s="191">
        <v>0</v>
      </c>
      <c r="L13" s="191">
        <v>0</v>
      </c>
      <c r="M13" s="192">
        <f>'PRESUPUESTO 2026'!K15</f>
        <v>39375</v>
      </c>
    </row>
    <row r="14" spans="1:13" x14ac:dyDescent="0.3">
      <c r="A14" s="193" t="s">
        <v>118</v>
      </c>
      <c r="B14" s="190">
        <f>'PRESUPUESTO 2026'!C20</f>
        <v>6825</v>
      </c>
      <c r="C14" s="191">
        <v>0</v>
      </c>
      <c r="D14" s="191">
        <v>0</v>
      </c>
      <c r="E14" s="192">
        <v>0</v>
      </c>
      <c r="F14" s="190">
        <f>'PRESUPUESTO 2026'!D20</f>
        <v>6825</v>
      </c>
      <c r="G14" s="191">
        <v>0</v>
      </c>
      <c r="H14" s="191">
        <v>0</v>
      </c>
      <c r="I14" s="192">
        <v>0</v>
      </c>
      <c r="J14" s="190">
        <f>'PRESUPUESTO 2026'!K20</f>
        <v>6825</v>
      </c>
      <c r="K14" s="191">
        <v>0</v>
      </c>
      <c r="L14" s="191">
        <v>0</v>
      </c>
      <c r="M14" s="192">
        <v>0</v>
      </c>
    </row>
    <row r="15" spans="1:13" x14ac:dyDescent="0.3">
      <c r="A15" s="189" t="s">
        <v>117</v>
      </c>
      <c r="B15" s="190">
        <v>0</v>
      </c>
      <c r="C15" s="191">
        <v>0</v>
      </c>
      <c r="D15" s="191">
        <v>0</v>
      </c>
      <c r="E15" s="192">
        <v>0</v>
      </c>
      <c r="F15" s="190">
        <v>0</v>
      </c>
      <c r="G15" s="191">
        <v>0</v>
      </c>
      <c r="H15" s="191">
        <v>0</v>
      </c>
      <c r="I15" s="192">
        <v>0</v>
      </c>
      <c r="J15" s="190">
        <v>0</v>
      </c>
      <c r="K15" s="191">
        <v>0</v>
      </c>
      <c r="L15" s="191">
        <v>0</v>
      </c>
      <c r="M15" s="192">
        <v>0</v>
      </c>
    </row>
    <row r="16" spans="1:13" x14ac:dyDescent="0.3">
      <c r="A16" s="189" t="s">
        <v>116</v>
      </c>
      <c r="B16" s="190"/>
      <c r="C16" s="191">
        <v>0</v>
      </c>
      <c r="D16" s="191"/>
      <c r="E16" s="192">
        <v>0</v>
      </c>
      <c r="F16" s="190"/>
      <c r="G16" s="191">
        <v>0</v>
      </c>
      <c r="H16" s="191"/>
      <c r="I16" s="192">
        <v>0</v>
      </c>
      <c r="J16" s="190"/>
      <c r="K16" s="191">
        <v>0</v>
      </c>
      <c r="L16" s="191"/>
      <c r="M16" s="192">
        <v>0</v>
      </c>
    </row>
    <row r="17" spans="1:13" ht="15" thickBot="1" x14ac:dyDescent="0.35">
      <c r="A17" s="194" t="s">
        <v>110</v>
      </c>
      <c r="B17" s="195"/>
      <c r="C17" s="177"/>
      <c r="D17" s="177"/>
      <c r="E17" s="178">
        <f>SUM('PRESUPUESTO 2026'!C23:C24)+'PRESUPUESTO 2026'!C34</f>
        <v>1680</v>
      </c>
      <c r="F17" s="195"/>
      <c r="G17" s="177"/>
      <c r="H17" s="177"/>
      <c r="I17" s="178">
        <f>SUM('PRESUPUESTO 2026'!D23:D24)+'PRESUPUESTO 2026'!D34</f>
        <v>1680</v>
      </c>
      <c r="J17" s="195"/>
      <c r="K17" s="177"/>
      <c r="L17" s="177"/>
      <c r="M17" s="178">
        <f>SUM('PRESUPUESTO 2026'!K23:K24)+'PRESUPUESTO 2026'!K34</f>
        <v>1680</v>
      </c>
    </row>
    <row r="18" spans="1:13" ht="15" thickBot="1" x14ac:dyDescent="0.35">
      <c r="A18" s="183" t="s">
        <v>155</v>
      </c>
      <c r="B18" s="184"/>
      <c r="C18" s="184"/>
      <c r="D18" s="184"/>
      <c r="E18" s="184"/>
      <c r="F18" s="184"/>
      <c r="G18" s="184"/>
      <c r="H18" s="184"/>
      <c r="I18" s="184"/>
      <c r="J18" s="184"/>
      <c r="K18" s="184"/>
      <c r="L18" s="184"/>
      <c r="M18" s="184"/>
    </row>
    <row r="19" spans="1:13" x14ac:dyDescent="0.3">
      <c r="A19" s="171" t="s">
        <v>70</v>
      </c>
      <c r="B19" s="186">
        <f>IF(OR(1=3,1=7,1=11),#REF!, 0)</f>
        <v>0</v>
      </c>
      <c r="C19" s="187">
        <f>IF(OR(2=3,2=7,2=11),#REF!, 0)</f>
        <v>0</v>
      </c>
      <c r="D19" s="187">
        <v>0</v>
      </c>
      <c r="E19" s="188">
        <f>IF(OR(4=3,4=7,4=11),#REF!, 0)</f>
        <v>0</v>
      </c>
      <c r="F19" s="186">
        <f>IF(OR(1=3,1=7,1=11),#REF!, 0)</f>
        <v>0</v>
      </c>
      <c r="G19" s="187">
        <f>IF(OR(2=3,2=7,2=11),#REF!, 0)</f>
        <v>0</v>
      </c>
      <c r="H19" s="187"/>
      <c r="I19" s="188">
        <f>IF(OR(4=3,4=7,4=11),#REF!, 0)</f>
        <v>0</v>
      </c>
      <c r="J19" s="186">
        <f>IF(OR(1=3,1=7,1=11),#REF!, 0)</f>
        <v>0</v>
      </c>
      <c r="K19" s="187">
        <f>IF(OR(2=3,2=7,2=11),#REF!, 0)</f>
        <v>0</v>
      </c>
      <c r="L19" s="187"/>
      <c r="M19" s="188">
        <f>IF(OR(4=3,4=7,4=11),#REF!, 0)</f>
        <v>0</v>
      </c>
    </row>
    <row r="20" spans="1:13" x14ac:dyDescent="0.3">
      <c r="A20" s="196" t="s">
        <v>71</v>
      </c>
      <c r="B20" s="197"/>
      <c r="C20" s="197"/>
      <c r="D20" s="197"/>
      <c r="E20" s="197"/>
      <c r="F20" s="197"/>
      <c r="G20" s="197"/>
      <c r="H20" s="197"/>
      <c r="I20" s="197"/>
      <c r="J20" s="197"/>
      <c r="K20" s="197"/>
      <c r="L20" s="197"/>
      <c r="M20" s="197"/>
    </row>
    <row r="21" spans="1:13" x14ac:dyDescent="0.3">
      <c r="A21" s="198" t="s">
        <v>111</v>
      </c>
      <c r="B21" s="199">
        <f>SUM(B11,B12,B13,B14,B15,B16,B17,B19)</f>
        <v>6825</v>
      </c>
      <c r="C21" s="199">
        <f t="shared" ref="C21:M21" si="7">SUM(C11,C12,C13,C14,C15,C16,C17,C19)</f>
        <v>0</v>
      </c>
      <c r="D21" s="199">
        <f t="shared" si="7"/>
        <v>1250</v>
      </c>
      <c r="E21" s="199">
        <f>SUM(E11,E12,E13,E14,E15,E16,E17,E19)</f>
        <v>41055</v>
      </c>
      <c r="F21" s="199">
        <f>SUM(F11,F12,F13,F14,F15,F16,F17,F19)</f>
        <v>6825</v>
      </c>
      <c r="G21" s="199">
        <f>SUM(G11,G12,G13,G14,G15,G16,G17,G19)</f>
        <v>0</v>
      </c>
      <c r="H21" s="199">
        <f>SUM(H11,H12,H13,H14,H15,H16,H17,H19)</f>
        <v>1250</v>
      </c>
      <c r="I21" s="199">
        <f>SUM(I11,I12,I13,I14,I15,I16,I17,I19)</f>
        <v>41055</v>
      </c>
      <c r="J21" s="199">
        <f t="shared" si="7"/>
        <v>6825</v>
      </c>
      <c r="K21" s="199">
        <f t="shared" si="7"/>
        <v>0</v>
      </c>
      <c r="L21" s="199">
        <f t="shared" si="7"/>
        <v>0</v>
      </c>
      <c r="M21" s="199">
        <f t="shared" si="7"/>
        <v>41055</v>
      </c>
    </row>
    <row r="22" spans="1:13" x14ac:dyDescent="0.3">
      <c r="A22" s="200"/>
      <c r="B22" s="200"/>
      <c r="C22" s="200"/>
      <c r="D22" s="200"/>
      <c r="E22" s="200"/>
      <c r="F22" s="200"/>
      <c r="G22" s="200"/>
      <c r="H22" s="200"/>
      <c r="I22" s="200"/>
      <c r="J22" s="200"/>
      <c r="K22" s="200"/>
      <c r="L22" s="200"/>
      <c r="M22" s="200"/>
    </row>
    <row r="23" spans="1:13" ht="15" thickBot="1" x14ac:dyDescent="0.35">
      <c r="A23" s="200"/>
      <c r="B23" s="200"/>
      <c r="C23" s="200"/>
      <c r="D23" s="200"/>
      <c r="E23" s="200"/>
      <c r="F23" s="200"/>
      <c r="G23" s="200"/>
      <c r="H23" s="200"/>
      <c r="I23" s="200"/>
      <c r="J23" s="200"/>
      <c r="K23" s="200"/>
      <c r="L23" s="200"/>
      <c r="M23" s="200"/>
    </row>
    <row r="24" spans="1:13" ht="15" thickBot="1" x14ac:dyDescent="0.35">
      <c r="A24" s="201" t="s">
        <v>107</v>
      </c>
      <c r="B24" s="172">
        <f>TESORERIA_2025!M77</f>
        <v>169905</v>
      </c>
      <c r="C24" s="202">
        <f>C7</f>
        <v>139483.25</v>
      </c>
      <c r="D24" s="202">
        <f t="shared" ref="C24:F25" si="8">D7</f>
        <v>153791.5</v>
      </c>
      <c r="E24" s="203">
        <f>E7</f>
        <v>166849.75</v>
      </c>
      <c r="F24" s="204">
        <f>F7</f>
        <v>140103</v>
      </c>
      <c r="G24" s="202">
        <f>F29</f>
        <v>146754.375</v>
      </c>
      <c r="H24" s="202">
        <f>G29</f>
        <v>160230.75</v>
      </c>
      <c r="I24" s="203">
        <f>H29</f>
        <v>172457.125</v>
      </c>
      <c r="J24" s="204">
        <f>J7</f>
        <v>144878.5</v>
      </c>
      <c r="K24" s="202">
        <f>J29</f>
        <v>153193.625</v>
      </c>
      <c r="L24" s="202">
        <f>K29</f>
        <v>168333.75</v>
      </c>
      <c r="M24" s="203">
        <f>L29</f>
        <v>183473.875</v>
      </c>
    </row>
    <row r="25" spans="1:13" ht="15" thickBot="1" x14ac:dyDescent="0.35">
      <c r="A25" s="205" t="s">
        <v>105</v>
      </c>
      <c r="B25" s="206">
        <f>B8</f>
        <v>14308.25</v>
      </c>
      <c r="C25" s="207">
        <f t="shared" si="8"/>
        <v>14308.25</v>
      </c>
      <c r="D25" s="207">
        <f t="shared" si="8"/>
        <v>14308.25</v>
      </c>
      <c r="E25" s="208">
        <f t="shared" si="8"/>
        <v>14308.25</v>
      </c>
      <c r="F25" s="206">
        <f t="shared" si="8"/>
        <v>13476.375</v>
      </c>
      <c r="G25" s="207">
        <f>G8</f>
        <v>13476.375</v>
      </c>
      <c r="H25" s="207">
        <f>H8</f>
        <v>13476.375</v>
      </c>
      <c r="I25" s="208">
        <f>I8</f>
        <v>13476.375</v>
      </c>
      <c r="J25" s="206">
        <f>J8</f>
        <v>15140.125</v>
      </c>
      <c r="K25" s="207">
        <f>K8</f>
        <v>15140.125</v>
      </c>
      <c r="L25" s="207">
        <f>L8</f>
        <v>15140.125</v>
      </c>
      <c r="M25" s="208">
        <f>M8</f>
        <v>15140.125</v>
      </c>
    </row>
    <row r="26" spans="1:13" ht="15" thickBot="1" x14ac:dyDescent="0.35">
      <c r="A26" s="209" t="s">
        <v>108</v>
      </c>
      <c r="B26" s="210">
        <f>B21</f>
        <v>6825</v>
      </c>
      <c r="C26" s="211">
        <f t="shared" ref="C26:M26" si="9">C21</f>
        <v>0</v>
      </c>
      <c r="D26" s="211">
        <f t="shared" si="9"/>
        <v>1250</v>
      </c>
      <c r="E26" s="212">
        <f t="shared" si="9"/>
        <v>41055</v>
      </c>
      <c r="F26" s="210">
        <f t="shared" si="9"/>
        <v>6825</v>
      </c>
      <c r="G26" s="211">
        <f t="shared" si="9"/>
        <v>0</v>
      </c>
      <c r="H26" s="211">
        <f t="shared" si="9"/>
        <v>1250</v>
      </c>
      <c r="I26" s="212">
        <f t="shared" si="9"/>
        <v>41055</v>
      </c>
      <c r="J26" s="210">
        <f t="shared" si="9"/>
        <v>6825</v>
      </c>
      <c r="K26" s="211">
        <f t="shared" si="9"/>
        <v>0</v>
      </c>
      <c r="L26" s="211">
        <f t="shared" si="9"/>
        <v>0</v>
      </c>
      <c r="M26" s="212">
        <f t="shared" si="9"/>
        <v>41055</v>
      </c>
    </row>
    <row r="27" spans="1:13" ht="15" thickBot="1" x14ac:dyDescent="0.35">
      <c r="A27" s="213" t="s">
        <v>113</v>
      </c>
      <c r="B27" s="206">
        <f>B25-B26</f>
        <v>7483.25</v>
      </c>
      <c r="C27" s="206">
        <f>C25-C26</f>
        <v>14308.25</v>
      </c>
      <c r="D27" s="206">
        <f t="shared" ref="D27" si="10">D25-D26</f>
        <v>13058.25</v>
      </c>
      <c r="E27" s="206">
        <f>E25-E26</f>
        <v>-26746.75</v>
      </c>
      <c r="F27" s="206">
        <f>F25-F26</f>
        <v>6651.375</v>
      </c>
      <c r="G27" s="206">
        <f>G25-G26</f>
        <v>13476.375</v>
      </c>
      <c r="H27" s="206">
        <f>H25-H26</f>
        <v>12226.375</v>
      </c>
      <c r="I27" s="206">
        <f>I25-I26</f>
        <v>-27578.625</v>
      </c>
      <c r="J27" s="206">
        <f t="shared" ref="J27:M27" si="11">J25-J26</f>
        <v>8315.125</v>
      </c>
      <c r="K27" s="206">
        <f t="shared" si="11"/>
        <v>15140.125</v>
      </c>
      <c r="L27" s="206">
        <f t="shared" si="11"/>
        <v>15140.125</v>
      </c>
      <c r="M27" s="206">
        <f t="shared" si="11"/>
        <v>-25914.875</v>
      </c>
    </row>
    <row r="28" spans="1:13" ht="15" thickBot="1" x14ac:dyDescent="0.35">
      <c r="A28" s="209" t="s">
        <v>112</v>
      </c>
      <c r="B28" s="210">
        <f>-TESORERIA_2025!N41</f>
        <v>-37905</v>
      </c>
      <c r="C28" s="211"/>
      <c r="D28" s="211"/>
      <c r="E28" s="212">
        <v>0</v>
      </c>
      <c r="F28" s="210"/>
      <c r="G28" s="211"/>
      <c r="H28" s="211"/>
      <c r="I28" s="212"/>
      <c r="J28" s="210"/>
      <c r="K28" s="211"/>
      <c r="L28" s="211"/>
      <c r="M28" s="212"/>
    </row>
    <row r="29" spans="1:13" ht="15" thickBot="1" x14ac:dyDescent="0.35">
      <c r="A29" s="214" t="s">
        <v>114</v>
      </c>
      <c r="B29" s="215">
        <f>B27+B24+B28</f>
        <v>139483.25</v>
      </c>
      <c r="C29" s="215">
        <f>C27+C24+C28</f>
        <v>153791.5</v>
      </c>
      <c r="D29" s="215">
        <f>D27+D24+D28</f>
        <v>166849.75</v>
      </c>
      <c r="E29" s="215">
        <f t="shared" ref="E29" si="12">E27+E24+E28</f>
        <v>140103</v>
      </c>
      <c r="F29" s="215">
        <f t="shared" ref="F29:M29" si="13">F24+F27-F28</f>
        <v>146754.375</v>
      </c>
      <c r="G29" s="215">
        <f t="shared" si="13"/>
        <v>160230.75</v>
      </c>
      <c r="H29" s="215">
        <f t="shared" si="13"/>
        <v>172457.125</v>
      </c>
      <c r="I29" s="215">
        <f t="shared" si="13"/>
        <v>144878.5</v>
      </c>
      <c r="J29" s="215">
        <f t="shared" si="13"/>
        <v>153193.625</v>
      </c>
      <c r="K29" s="215">
        <f t="shared" si="13"/>
        <v>168333.75</v>
      </c>
      <c r="L29" s="215">
        <f t="shared" si="13"/>
        <v>183473.875</v>
      </c>
      <c r="M29" s="215">
        <f t="shared" si="13"/>
        <v>157559</v>
      </c>
    </row>
    <row r="30" spans="1:13" x14ac:dyDescent="0.3">
      <c r="A30" s="200"/>
      <c r="B30" s="200"/>
      <c r="C30" s="200"/>
      <c r="D30" s="200"/>
      <c r="E30" s="200"/>
      <c r="F30" s="200"/>
      <c r="G30" s="200"/>
      <c r="H30" s="200"/>
      <c r="I30" s="200"/>
      <c r="J30" s="200"/>
      <c r="K30" s="200"/>
      <c r="L30" s="200"/>
      <c r="M30" s="200"/>
    </row>
    <row r="31" spans="1:13" hidden="1" x14ac:dyDescent="0.3">
      <c r="A31" s="200"/>
      <c r="B31" s="200"/>
      <c r="C31" s="200"/>
      <c r="D31" s="200"/>
      <c r="E31" s="200"/>
      <c r="F31" s="200">
        <f>E29+'Tesorería_3 meses B1'!E29</f>
        <v>195805.34999999998</v>
      </c>
      <c r="G31" s="200"/>
      <c r="H31" s="200"/>
      <c r="I31" s="200"/>
      <c r="J31" s="200"/>
      <c r="K31" s="200"/>
      <c r="L31" s="200"/>
      <c r="M31" s="200"/>
    </row>
    <row r="32" spans="1:13" ht="15" thickBot="1" x14ac:dyDescent="0.35">
      <c r="A32" s="200"/>
      <c r="B32" s="200"/>
      <c r="C32" s="200"/>
      <c r="D32" s="200"/>
      <c r="E32" s="200"/>
      <c r="F32" s="200"/>
      <c r="G32" s="200"/>
      <c r="H32" s="200"/>
      <c r="I32" s="200"/>
      <c r="J32" s="200"/>
      <c r="K32" s="200"/>
      <c r="L32" s="200"/>
      <c r="M32" s="200"/>
    </row>
    <row r="33" spans="1:13" ht="15" thickBot="1" x14ac:dyDescent="0.35">
      <c r="A33" s="249" t="s">
        <v>115</v>
      </c>
      <c r="B33" s="250"/>
      <c r="C33" s="250"/>
      <c r="D33" s="250"/>
      <c r="E33" s="250"/>
      <c r="F33" s="250"/>
      <c r="G33" s="250"/>
      <c r="H33" s="250"/>
      <c r="I33" s="250"/>
      <c r="J33" s="250"/>
      <c r="K33" s="250"/>
      <c r="L33" s="250"/>
      <c r="M33" s="251"/>
    </row>
    <row r="34" spans="1:13" x14ac:dyDescent="0.3">
      <c r="A34" s="216" t="s">
        <v>85</v>
      </c>
      <c r="B34" s="217">
        <f>B8-(B8/1.21)</f>
        <v>2483.25</v>
      </c>
      <c r="C34" s="217">
        <f t="shared" ref="C34:M34" si="14">C8-(C8/1.21)</f>
        <v>2483.25</v>
      </c>
      <c r="D34" s="217">
        <f t="shared" si="14"/>
        <v>2483.25</v>
      </c>
      <c r="E34" s="217">
        <f t="shared" si="14"/>
        <v>2483.25</v>
      </c>
      <c r="F34" s="217">
        <f t="shared" si="14"/>
        <v>2338.875</v>
      </c>
      <c r="G34" s="217">
        <f t="shared" si="14"/>
        <v>2338.875</v>
      </c>
      <c r="H34" s="217">
        <f t="shared" si="14"/>
        <v>2338.875</v>
      </c>
      <c r="I34" s="217">
        <f t="shared" si="14"/>
        <v>2338.875</v>
      </c>
      <c r="J34" s="217">
        <f t="shared" si="14"/>
        <v>2627.625</v>
      </c>
      <c r="K34" s="217">
        <f t="shared" si="14"/>
        <v>2627.625</v>
      </c>
      <c r="L34" s="217">
        <f t="shared" si="14"/>
        <v>2627.625</v>
      </c>
      <c r="M34" s="218">
        <f t="shared" si="14"/>
        <v>2627.625</v>
      </c>
    </row>
    <row r="35" spans="1:13" ht="15" thickBot="1" x14ac:dyDescent="0.35">
      <c r="A35" s="219" t="s">
        <v>84</v>
      </c>
      <c r="B35" s="220">
        <f>(B11+B12+B15+B16)-((B11+B12+B15+B16)/1.21)</f>
        <v>0</v>
      </c>
      <c r="C35" s="220">
        <f t="shared" ref="C35:M35" si="15">(C11+C12+C15+C16)-((C11+C12+C15+C16)/1.21)</f>
        <v>0</v>
      </c>
      <c r="D35" s="220">
        <f t="shared" si="15"/>
        <v>216.94214876033061</v>
      </c>
      <c r="E35" s="220">
        <f t="shared" si="15"/>
        <v>0</v>
      </c>
      <c r="F35" s="220">
        <f t="shared" si="15"/>
        <v>0</v>
      </c>
      <c r="G35" s="220">
        <f t="shared" si="15"/>
        <v>0</v>
      </c>
      <c r="H35" s="220">
        <f t="shared" si="15"/>
        <v>216.94214876033061</v>
      </c>
      <c r="I35" s="220">
        <f t="shared" si="15"/>
        <v>0</v>
      </c>
      <c r="J35" s="220">
        <f t="shared" si="15"/>
        <v>0</v>
      </c>
      <c r="K35" s="220">
        <f t="shared" si="15"/>
        <v>0</v>
      </c>
      <c r="L35" s="220">
        <f t="shared" si="15"/>
        <v>0</v>
      </c>
      <c r="M35" s="221">
        <f t="shared" si="15"/>
        <v>0</v>
      </c>
    </row>
    <row r="36" spans="1:13" ht="15" thickBot="1" x14ac:dyDescent="0.35">
      <c r="A36" s="222" t="s">
        <v>121</v>
      </c>
      <c r="B36" s="220">
        <f>B34-B35+B30</f>
        <v>2483.25</v>
      </c>
      <c r="C36" s="220">
        <f>B36+C34-C35</f>
        <v>4966.5</v>
      </c>
      <c r="D36" s="220">
        <f t="shared" ref="D36:E36" si="16">C36+D34-D35</f>
        <v>7232.8078512396696</v>
      </c>
      <c r="E36" s="220">
        <f t="shared" si="16"/>
        <v>9716.0578512396696</v>
      </c>
      <c r="F36" s="220">
        <f>E36+F34-F35</f>
        <v>12054.93285123967</v>
      </c>
      <c r="G36" s="220">
        <f t="shared" ref="G36:L36" si="17">F36+G34-G35</f>
        <v>14393.80785123967</v>
      </c>
      <c r="H36" s="220">
        <f t="shared" si="17"/>
        <v>16515.740702479336</v>
      </c>
      <c r="I36" s="220">
        <f t="shared" si="17"/>
        <v>18854.615702479336</v>
      </c>
      <c r="J36" s="220">
        <f t="shared" si="17"/>
        <v>21482.240702479336</v>
      </c>
      <c r="K36" s="220">
        <f t="shared" si="17"/>
        <v>24109.865702479336</v>
      </c>
      <c r="L36" s="220">
        <f t="shared" si="17"/>
        <v>26737.490702479336</v>
      </c>
      <c r="M36" s="223">
        <f>L36+M34-M35</f>
        <v>29365.115702479336</v>
      </c>
    </row>
  </sheetData>
  <mergeCells count="7">
    <mergeCell ref="A33:M33"/>
    <mergeCell ref="A6:M6"/>
    <mergeCell ref="A1:M1"/>
    <mergeCell ref="A2:M3"/>
    <mergeCell ref="B4:E4"/>
    <mergeCell ref="F4:I4"/>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BDFD-D30C-4B1A-9074-8CAC01D7208F}">
  <dimension ref="A1:I37"/>
  <sheetViews>
    <sheetView showGridLines="0" zoomScaleNormal="100" workbookViewId="0">
      <selection activeCell="A10" sqref="A10:XFD10"/>
    </sheetView>
  </sheetViews>
  <sheetFormatPr baseColWidth="10" defaultColWidth="9.109375" defaultRowHeight="14.4" x14ac:dyDescent="0.3"/>
  <cols>
    <col min="1" max="1" width="46.77734375" customWidth="1"/>
    <col min="2" max="2" width="31.77734375" customWidth="1"/>
    <col min="3" max="3" width="30.21875" customWidth="1"/>
    <col min="4" max="4" width="33.33203125" customWidth="1"/>
    <col min="5" max="5" width="10.5546875" bestFit="1" customWidth="1"/>
    <col min="6" max="7" width="9.5546875" bestFit="1" customWidth="1"/>
    <col min="9" max="9" width="10.5546875" bestFit="1" customWidth="1"/>
  </cols>
  <sheetData>
    <row r="1" spans="1:9" ht="28.2" customHeight="1" x14ac:dyDescent="0.3">
      <c r="A1" s="263" t="s">
        <v>158</v>
      </c>
      <c r="B1" s="263"/>
      <c r="C1" s="263"/>
      <c r="D1" s="263"/>
    </row>
    <row r="2" spans="1:9" ht="14.4" customHeight="1" x14ac:dyDescent="0.3">
      <c r="A2" s="264" t="s">
        <v>123</v>
      </c>
      <c r="B2" s="264"/>
      <c r="C2" s="264"/>
      <c r="D2" s="264"/>
    </row>
    <row r="3" spans="1:9" ht="24" customHeight="1" x14ac:dyDescent="0.3">
      <c r="A3" s="264"/>
      <c r="B3" s="264"/>
      <c r="C3" s="264"/>
      <c r="D3" s="264"/>
    </row>
    <row r="4" spans="1:9" ht="15" thickBot="1" x14ac:dyDescent="0.35"/>
    <row r="5" spans="1:9" x14ac:dyDescent="0.3">
      <c r="A5" s="151" t="s">
        <v>54</v>
      </c>
      <c r="B5" s="261" t="s">
        <v>130</v>
      </c>
      <c r="C5" s="255" t="s">
        <v>131</v>
      </c>
      <c r="D5" s="257" t="s">
        <v>132</v>
      </c>
    </row>
    <row r="6" spans="1:9" ht="15" thickBot="1" x14ac:dyDescent="0.35">
      <c r="A6" s="152" t="s">
        <v>67</v>
      </c>
      <c r="B6" s="262"/>
      <c r="C6" s="256"/>
      <c r="D6" s="258"/>
    </row>
    <row r="7" spans="1:9" ht="15" thickBot="1" x14ac:dyDescent="0.35">
      <c r="A7" s="157" t="s">
        <v>159</v>
      </c>
      <c r="B7" s="96">
        <f>'Tesorería_3 meses B1'!B7+'Tesorería_3 meses B2'!B7</f>
        <v>219905</v>
      </c>
      <c r="C7" s="96">
        <f>B30</f>
        <v>195805.34999999998</v>
      </c>
      <c r="D7" s="96">
        <f>C30</f>
        <v>205496.69999999995</v>
      </c>
    </row>
    <row r="8" spans="1:9" ht="15" thickBot="1" x14ac:dyDescent="0.35">
      <c r="A8" s="153" t="s">
        <v>138</v>
      </c>
      <c r="B8" s="96">
        <f>B9+B10</f>
        <v>114466</v>
      </c>
      <c r="C8" s="96">
        <f t="shared" ref="C8:D8" si="0">C9+C10</f>
        <v>107811</v>
      </c>
      <c r="D8" s="96">
        <f t="shared" si="0"/>
        <v>121121</v>
      </c>
    </row>
    <row r="9" spans="1:9" ht="15" thickBot="1" x14ac:dyDescent="0.35">
      <c r="A9" s="153" t="s">
        <v>135</v>
      </c>
      <c r="B9" s="96">
        <f>SUM('Tesorería_3 meses B1'!B8:E8)</f>
        <v>57233</v>
      </c>
      <c r="C9" s="96">
        <f>SUM('Tesorería_3 meses B1'!F8:I8)</f>
        <v>53905.5</v>
      </c>
      <c r="D9" s="96">
        <f>SUM('Tesorería_3 meses B1'!J8:M8)</f>
        <v>60560.5</v>
      </c>
    </row>
    <row r="10" spans="1:9" ht="15" thickBot="1" x14ac:dyDescent="0.35">
      <c r="A10" s="153" t="s">
        <v>136</v>
      </c>
      <c r="B10" s="96">
        <f>SUM('Tesorería_3 meses B2'!B8:E8)</f>
        <v>57233</v>
      </c>
      <c r="C10" s="96">
        <f>SUM('Tesorería_3 meses B2'!F8:I8)</f>
        <v>53905.5</v>
      </c>
      <c r="D10" s="96">
        <f>SUM('Tesorería_3 meses B2'!J8:M8)</f>
        <v>60560.5</v>
      </c>
      <c r="E10" s="77"/>
    </row>
    <row r="11" spans="1:9" x14ac:dyDescent="0.3">
      <c r="A11" s="154" t="s">
        <v>109</v>
      </c>
      <c r="B11" s="96">
        <f>SUM(B7:B8)</f>
        <v>334371</v>
      </c>
      <c r="C11" s="96">
        <f t="shared" ref="C11:D11" si="1">SUM(C7:C8)</f>
        <v>303616.34999999998</v>
      </c>
      <c r="D11" s="96">
        <f t="shared" si="1"/>
        <v>326617.69999999995</v>
      </c>
    </row>
    <row r="12" spans="1:9" ht="15" thickBot="1" x14ac:dyDescent="0.35">
      <c r="A12" s="155" t="s">
        <v>68</v>
      </c>
      <c r="B12" s="80"/>
      <c r="C12" s="80"/>
      <c r="D12" s="156"/>
      <c r="I12" s="77"/>
    </row>
    <row r="13" spans="1:9" ht="15" thickBot="1" x14ac:dyDescent="0.35">
      <c r="A13" s="153" t="s">
        <v>119</v>
      </c>
      <c r="B13" s="96">
        <f>SUM('Tesorería_3 meses B1'!B11:E11)</f>
        <v>15665.264999999999</v>
      </c>
      <c r="C13" s="96">
        <f>SUM('Tesorería_3 meses B1'!F11:I11)</f>
        <v>14490.0525</v>
      </c>
      <c r="D13" s="96">
        <f>SUM('Tesorería_3 meses B1'!J11:M11)</f>
        <v>15982.89</v>
      </c>
    </row>
    <row r="14" spans="1:9" ht="15" thickBot="1" x14ac:dyDescent="0.35">
      <c r="A14" s="153" t="s">
        <v>120</v>
      </c>
      <c r="B14" s="96">
        <f>SUM('Tesorería_3 meses B1'!B12:E12)</f>
        <v>15665.264999999999</v>
      </c>
      <c r="C14" s="96">
        <f>SUM('Tesorería_3 meses B1'!F12:I12)</f>
        <v>14490.0525</v>
      </c>
      <c r="D14" s="96">
        <f>SUM('Tesorería_3 meses B1'!J12:M12)</f>
        <v>15982.89</v>
      </c>
    </row>
    <row r="15" spans="1:9" ht="15" thickBot="1" x14ac:dyDescent="0.35">
      <c r="A15" s="153" t="s">
        <v>106</v>
      </c>
      <c r="B15" s="96">
        <f>SUM('Tesorería_3 meses B2'!B13:E13)</f>
        <v>39375</v>
      </c>
      <c r="C15" s="96">
        <f>SUM('Tesorería_3 meses B2'!F13:I13)</f>
        <v>39375</v>
      </c>
      <c r="D15" s="96">
        <f>SUM('Tesorería_3 meses B2'!J13:M13)</f>
        <v>39375</v>
      </c>
    </row>
    <row r="16" spans="1:9" ht="15" thickBot="1" x14ac:dyDescent="0.35">
      <c r="A16" s="153" t="s">
        <v>118</v>
      </c>
      <c r="B16" s="96">
        <f>SUM('Tesorería_3 meses B2'!B14:E14)</f>
        <v>6825</v>
      </c>
      <c r="C16" s="96">
        <f>SUM('Tesorería_3 meses B2'!F14:I14)</f>
        <v>6825</v>
      </c>
      <c r="D16" s="96">
        <f>SUM('Tesorería_3 meses B2'!J14:M14)</f>
        <v>6825</v>
      </c>
    </row>
    <row r="17" spans="1:7" ht="15" thickBot="1" x14ac:dyDescent="0.35">
      <c r="A17" s="153" t="s">
        <v>117</v>
      </c>
      <c r="B17" s="96">
        <f>SUM('Tesorería_3 meses B1'!B15:E15)</f>
        <v>14775.914999999999</v>
      </c>
      <c r="C17" s="96">
        <f>SUM('Tesorería_3 meses B1'!F15:I15)</f>
        <v>14585.34</v>
      </c>
      <c r="D17" s="96">
        <f>SUM('Tesorería_3 meses B1'!J15:M15)</f>
        <v>14140.664999999999</v>
      </c>
    </row>
    <row r="18" spans="1:7" ht="15" thickBot="1" x14ac:dyDescent="0.35">
      <c r="A18" s="153" t="s">
        <v>116</v>
      </c>
      <c r="B18" s="96">
        <f>SUM('Tesorería_3 meses B1'!B16:E16)</f>
        <v>3824.2049999999999</v>
      </c>
      <c r="C18" s="96">
        <f>SUM('Tesorería_3 meses B1'!F16:I16)</f>
        <v>3824.2049999999999</v>
      </c>
      <c r="D18" s="96">
        <f>SUM('Tesorería_3 meses B1'!J16:M16)</f>
        <v>3824.2049999999999</v>
      </c>
      <c r="E18" s="77"/>
    </row>
    <row r="19" spans="1:7" x14ac:dyDescent="0.3">
      <c r="A19" s="153" t="s">
        <v>110</v>
      </c>
      <c r="B19" s="96">
        <f>SUM('Tesorería_3 meses B2'!B17:E17)</f>
        <v>1680</v>
      </c>
      <c r="C19" s="96">
        <f>SUM('Tesorería_3 meses B2'!F17:I17)</f>
        <v>1680</v>
      </c>
      <c r="D19" s="96">
        <f>SUM('Tesorería_3 meses B2'!J17:M17)</f>
        <v>1680</v>
      </c>
    </row>
    <row r="20" spans="1:7" ht="15" thickBot="1" x14ac:dyDescent="0.35">
      <c r="A20" s="155" t="s">
        <v>69</v>
      </c>
      <c r="B20" s="80"/>
      <c r="C20" s="80"/>
      <c r="D20" s="156"/>
    </row>
    <row r="21" spans="1:7" x14ac:dyDescent="0.3">
      <c r="A21" s="157" t="s">
        <v>70</v>
      </c>
      <c r="B21" s="96">
        <f>SUM('Tesorería_3 meses B1'!B19:E19)</f>
        <v>1600</v>
      </c>
      <c r="C21" s="96">
        <f>SUM('Tesorería_3 meses B1'!F19:I19)</f>
        <v>1600</v>
      </c>
      <c r="D21" s="96">
        <f>SUM('Tesorería_3 meses B1'!J19:M19)</f>
        <v>1600</v>
      </c>
    </row>
    <row r="22" spans="1:7" ht="15" thickBot="1" x14ac:dyDescent="0.35">
      <c r="A22" s="158" t="s">
        <v>71</v>
      </c>
      <c r="B22" s="81"/>
      <c r="C22" s="81"/>
      <c r="D22" s="159"/>
      <c r="G22" s="77"/>
    </row>
    <row r="23" spans="1:7" ht="15" thickBot="1" x14ac:dyDescent="0.35">
      <c r="A23" s="160" t="s">
        <v>111</v>
      </c>
      <c r="B23" s="150">
        <f>SUM(B13:B19)+B21</f>
        <v>99410.65</v>
      </c>
      <c r="C23" s="150">
        <f t="shared" ref="C23" si="2">SUM(C13:C19)+C21</f>
        <v>96869.65</v>
      </c>
      <c r="D23" s="150">
        <f>SUM(D13:D19)+D21</f>
        <v>99410.65</v>
      </c>
      <c r="E23" s="77"/>
      <c r="F23" s="77"/>
    </row>
    <row r="24" spans="1:7" ht="15" thickBot="1" x14ac:dyDescent="0.35"/>
    <row r="25" spans="1:7" ht="15" thickBot="1" x14ac:dyDescent="0.35">
      <c r="A25" s="110" t="s">
        <v>107</v>
      </c>
      <c r="B25" s="115">
        <f>'Tesorería_3 meses B1'!B24+'Tesorería_3 meses B2'!B24</f>
        <v>219905</v>
      </c>
      <c r="C25" s="104">
        <f>'Tesorería_3 meses B1'!F24+'Tesorería_3 meses B2'!F24</f>
        <v>195805.34999999998</v>
      </c>
      <c r="D25" s="105">
        <f>'Tesorería_3 meses B1'!J24+'Tesorería_3 meses B2'!J24</f>
        <v>205496.69999999998</v>
      </c>
    </row>
    <row r="26" spans="1:7" ht="15" thickBot="1" x14ac:dyDescent="0.35">
      <c r="A26" s="111" t="s">
        <v>105</v>
      </c>
      <c r="B26" s="83">
        <f>SUM('Tesorería_3 meses B1'!B25:E25)+SUM('Tesorería_3 meses B2'!B25:E25)</f>
        <v>114466</v>
      </c>
      <c r="C26" s="82">
        <f>SUM('Tesorería_3 meses B1'!F25:I25)+SUM('Tesorería_3 meses B2'!F25:I25)</f>
        <v>107811</v>
      </c>
      <c r="D26" s="84">
        <f>SUM('Tesorería_3 meses B1'!J25:M25)+SUM('Tesorería_3 meses B2'!J25:M25)</f>
        <v>121121</v>
      </c>
    </row>
    <row r="27" spans="1:7" ht="15" thickBot="1" x14ac:dyDescent="0.35">
      <c r="A27" s="124" t="s">
        <v>108</v>
      </c>
      <c r="B27" s="125">
        <f>-(SUM('Tesorería_3 meses B1'!B26:E26)+SUM('Tesorería_3 meses B2'!B26:E26))</f>
        <v>-100660.65000000001</v>
      </c>
      <c r="C27" s="126">
        <f>-(SUM('Tesorería_3 meses B1'!F26:I26)+SUM('Tesorería_3 meses B2'!F26:I26))</f>
        <v>-98119.650000000009</v>
      </c>
      <c r="D27" s="127">
        <f>-(SUM('Tesorería_3 meses B1'!J26:M26)+SUM('Tesorería_3 meses B2'!J26:M26))</f>
        <v>-99410.65</v>
      </c>
      <c r="E27" s="77"/>
    </row>
    <row r="28" spans="1:7" ht="15" thickBot="1" x14ac:dyDescent="0.35">
      <c r="A28" s="111" t="s">
        <v>137</v>
      </c>
      <c r="B28" s="83">
        <f>B26+B27</f>
        <v>13805.349999999991</v>
      </c>
      <c r="C28" s="83">
        <f>C26+C27</f>
        <v>9691.3499999999913</v>
      </c>
      <c r="D28" s="88">
        <f>D26+D27</f>
        <v>21710.350000000006</v>
      </c>
    </row>
    <row r="29" spans="1:7" ht="15" thickBot="1" x14ac:dyDescent="0.35">
      <c r="A29" s="124" t="s">
        <v>112</v>
      </c>
      <c r="B29" s="125">
        <f>SUM('Tesorería_3 meses B2'!B28:E28)</f>
        <v>-37905</v>
      </c>
      <c r="C29" s="126">
        <f>SUM('Tesorería_3 meses B2'!F28:I28)</f>
        <v>0</v>
      </c>
      <c r="D29" s="127">
        <f>SUM('Tesorería_3 meses B2'!G28:J28)</f>
        <v>0</v>
      </c>
    </row>
    <row r="30" spans="1:7" ht="15" thickBot="1" x14ac:dyDescent="0.35">
      <c r="A30" s="85" t="s">
        <v>114</v>
      </c>
      <c r="B30" s="128">
        <f>B28+B25+B29</f>
        <v>195805.34999999998</v>
      </c>
      <c r="C30" s="128">
        <f t="shared" ref="C30:D30" si="3">C28+C25+C29</f>
        <v>205496.69999999995</v>
      </c>
      <c r="D30" s="128">
        <f t="shared" si="3"/>
        <v>227207.05</v>
      </c>
    </row>
    <row r="31" spans="1:7" x14ac:dyDescent="0.3">
      <c r="B31" s="77"/>
      <c r="C31" s="77"/>
    </row>
    <row r="32" spans="1:7" x14ac:dyDescent="0.3">
      <c r="B32" s="77">
        <f>B26+B27-B28</f>
        <v>0</v>
      </c>
    </row>
    <row r="34" spans="1:5" ht="18.600000000000001" thickBot="1" x14ac:dyDescent="0.35">
      <c r="A34" s="259" t="s">
        <v>115</v>
      </c>
      <c r="B34" s="260"/>
      <c r="C34" s="260"/>
      <c r="D34" s="260"/>
    </row>
    <row r="35" spans="1:5" ht="15" thickBot="1" x14ac:dyDescent="0.35">
      <c r="A35" s="112" t="s">
        <v>85</v>
      </c>
      <c r="B35" s="96">
        <f>SUM('Tesorería_3 meses B1'!B34:E34)+SUM('Tesorería_3 meses B2'!B34:E34)</f>
        <v>19866</v>
      </c>
      <c r="C35" s="96">
        <f>SUM('Tesorería_3 meses B1'!F34:I34)+SUM('Tesorería_3 meses B2'!F34:I34)</f>
        <v>18711</v>
      </c>
      <c r="D35" s="96">
        <f>SUM('Tesorería_3 meses B1'!J34:M34)+SUM('Tesorería_3 meses B2'!J34:M34)</f>
        <v>21021</v>
      </c>
      <c r="E35" s="253" t="s">
        <v>139</v>
      </c>
    </row>
    <row r="36" spans="1:5" ht="15" thickBot="1" x14ac:dyDescent="0.35">
      <c r="A36" s="113" t="s">
        <v>84</v>
      </c>
      <c r="B36" s="96">
        <f>SUM('Tesorería_3 meses B1'!B35:E35)+SUM('Tesorería_3 meses B2'!B35:E35)</f>
        <v>8882.59214876033</v>
      </c>
      <c r="C36" s="96">
        <f>SUM('Tesorería_3 meses B1'!F35:I35)+SUM('Tesorería_3 meses B2'!F35:I35)</f>
        <v>8441.59214876033</v>
      </c>
      <c r="D36" s="96">
        <f>SUM('Tesorería_3 meses B1'!J35:M35)+SUM('Tesorería_3 meses B2'!J35:M35)</f>
        <v>8665.6499999999978</v>
      </c>
      <c r="E36" s="254"/>
    </row>
    <row r="37" spans="1:5" ht="15" thickBot="1" x14ac:dyDescent="0.35">
      <c r="A37" s="114" t="s">
        <v>121</v>
      </c>
      <c r="B37" s="149">
        <f>B35-B36</f>
        <v>10983.40785123967</v>
      </c>
      <c r="C37" s="150">
        <f t="shared" ref="C37:D37" si="4">C35-C36</f>
        <v>10269.40785123967</v>
      </c>
      <c r="D37" s="150">
        <f t="shared" si="4"/>
        <v>12355.350000000002</v>
      </c>
      <c r="E37" s="150">
        <f>SUM(B37:D37)</f>
        <v>33608.165702479339</v>
      </c>
    </row>
  </sheetData>
  <mergeCells count="7">
    <mergeCell ref="A1:D1"/>
    <mergeCell ref="A2:D3"/>
    <mergeCell ref="E35:E36"/>
    <mergeCell ref="C5:C6"/>
    <mergeCell ref="D5:D6"/>
    <mergeCell ref="A34:D34"/>
    <mergeCell ref="B5:B6"/>
  </mergeCells>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E08A-93CE-41D7-9513-2DFFD1B8DA8C}">
  <dimension ref="A1:N79"/>
  <sheetViews>
    <sheetView showGridLines="0" zoomScale="85" zoomScaleNormal="85" workbookViewId="0">
      <pane xSplit="1" ySplit="2" topLeftCell="B3" activePane="bottomRight" state="frozen"/>
      <selection pane="topRight"/>
      <selection pane="bottomLeft"/>
      <selection pane="bottomRight" activeCell="C80" sqref="C80"/>
    </sheetView>
  </sheetViews>
  <sheetFormatPr baseColWidth="10" defaultColWidth="9.109375" defaultRowHeight="14.4" x14ac:dyDescent="0.3"/>
  <cols>
    <col min="1" max="1" width="48" style="8" customWidth="1"/>
    <col min="2" max="13" width="14" style="8" customWidth="1"/>
    <col min="14" max="14" width="13.33203125" style="8" bestFit="1" customWidth="1"/>
    <col min="15" max="16384" width="9.109375" style="8"/>
  </cols>
  <sheetData>
    <row r="1" spans="1:14" customFormat="1" ht="21.9" customHeight="1" x14ac:dyDescent="0.3">
      <c r="B1" s="225" t="s">
        <v>125</v>
      </c>
      <c r="C1" s="225"/>
      <c r="D1" s="225"/>
      <c r="E1" s="225"/>
      <c r="F1" s="225"/>
      <c r="G1" s="225"/>
      <c r="H1" s="225"/>
      <c r="I1" s="225"/>
      <c r="J1" s="225"/>
      <c r="K1" s="225"/>
      <c r="L1" s="225"/>
      <c r="M1" s="225"/>
    </row>
    <row r="2" spans="1:14" customFormat="1" x14ac:dyDescent="0.3">
      <c r="A2" s="1"/>
      <c r="B2" s="1" t="s">
        <v>0</v>
      </c>
      <c r="C2" s="1" t="s">
        <v>1</v>
      </c>
      <c r="D2" s="1" t="s">
        <v>2</v>
      </c>
      <c r="E2" s="1" t="s">
        <v>3</v>
      </c>
      <c r="F2" s="1" t="s">
        <v>4</v>
      </c>
      <c r="G2" s="1" t="s">
        <v>5</v>
      </c>
      <c r="H2" s="1" t="s">
        <v>6</v>
      </c>
      <c r="I2" s="1" t="s">
        <v>7</v>
      </c>
      <c r="J2" s="1" t="s">
        <v>8</v>
      </c>
      <c r="K2" s="1" t="s">
        <v>9</v>
      </c>
      <c r="L2" s="1" t="s">
        <v>10</v>
      </c>
      <c r="M2" s="1" t="s">
        <v>11</v>
      </c>
    </row>
    <row r="3" spans="1:14" customFormat="1" x14ac:dyDescent="0.3">
      <c r="A3" s="4" t="s">
        <v>49</v>
      </c>
      <c r="B3" s="5">
        <f>SUM(B4:B7)</f>
        <v>114466</v>
      </c>
      <c r="C3" s="5">
        <f t="shared" ref="C3:M3" si="0">SUM(C4:C7)</f>
        <v>107811.00000000001</v>
      </c>
      <c r="D3" s="5">
        <f t="shared" si="0"/>
        <v>121121</v>
      </c>
      <c r="E3" s="5">
        <f t="shared" si="0"/>
        <v>127776</v>
      </c>
      <c r="F3" s="5">
        <f t="shared" si="0"/>
        <v>134431</v>
      </c>
      <c r="G3" s="5">
        <f t="shared" si="0"/>
        <v>141086.00000000003</v>
      </c>
      <c r="H3" s="5">
        <f t="shared" si="0"/>
        <v>147741.00000000003</v>
      </c>
      <c r="I3" s="5">
        <f t="shared" si="0"/>
        <v>154396.00000000003</v>
      </c>
      <c r="J3" s="5">
        <f t="shared" si="0"/>
        <v>134431</v>
      </c>
      <c r="K3" s="5">
        <f t="shared" si="0"/>
        <v>127776</v>
      </c>
      <c r="L3" s="5">
        <f t="shared" si="0"/>
        <v>121121</v>
      </c>
      <c r="M3" s="5">
        <f t="shared" si="0"/>
        <v>161051.00000000003</v>
      </c>
      <c r="N3" s="161"/>
    </row>
    <row r="4" spans="1:14" customFormat="1" x14ac:dyDescent="0.3">
      <c r="A4" s="9" t="s">
        <v>80</v>
      </c>
      <c r="B4" s="6">
        <f>'PRESUPUESTO 2026'!C4*1.21</f>
        <v>67881</v>
      </c>
      <c r="C4" s="6">
        <f>'PRESUPUESTO 2026'!D4*1.21</f>
        <v>63888.000000000007</v>
      </c>
      <c r="D4" s="6">
        <f>'PRESUPUESTO 2026'!E4*1.21</f>
        <v>71874</v>
      </c>
      <c r="E4" s="6">
        <f>'PRESUPUESTO 2026'!F4*1.21</f>
        <v>75867</v>
      </c>
      <c r="F4" s="6">
        <f>'PRESUPUESTO 2026'!G4*1.21</f>
        <v>79860</v>
      </c>
      <c r="G4" s="6">
        <f>'PRESUPUESTO 2026'!H4*1.21</f>
        <v>83853</v>
      </c>
      <c r="H4" s="6">
        <f>'PRESUPUESTO 2026'!I4*1.21</f>
        <v>87846</v>
      </c>
      <c r="I4" s="6">
        <f>'PRESUPUESTO 2026'!J4*1.21</f>
        <v>91839</v>
      </c>
      <c r="J4" s="6">
        <f>'PRESUPUESTO 2026'!K4*1.21</f>
        <v>79860</v>
      </c>
      <c r="K4" s="6">
        <f>'PRESUPUESTO 2026'!L4*1.21</f>
        <v>75867</v>
      </c>
      <c r="L4" s="6">
        <f>'PRESUPUESTO 2026'!M4*1.21</f>
        <v>71874</v>
      </c>
      <c r="M4" s="6">
        <f>'PRESUPUESTO 2026'!N4*1.21</f>
        <v>95832</v>
      </c>
    </row>
    <row r="5" spans="1:14" customFormat="1" x14ac:dyDescent="0.3">
      <c r="A5" s="9" t="s">
        <v>73</v>
      </c>
      <c r="B5" s="6">
        <f>'PRESUPUESTO 2026'!C5*1.21</f>
        <v>1064.8000000000002</v>
      </c>
      <c r="C5" s="6">
        <f>'PRESUPUESTO 2026'!D5*1.21</f>
        <v>1064.8000000000002</v>
      </c>
      <c r="D5" s="6">
        <f>'PRESUPUESTO 2026'!E5*1.21</f>
        <v>1064.8000000000002</v>
      </c>
      <c r="E5" s="6">
        <f>'PRESUPUESTO 2026'!F5*1.21</f>
        <v>1064.8000000000002</v>
      </c>
      <c r="F5" s="6">
        <f>'PRESUPUESTO 2026'!G5*1.21</f>
        <v>1064.8000000000002</v>
      </c>
      <c r="G5" s="6">
        <f>'PRESUPUESTO 2026'!H5*1.21</f>
        <v>1064.8000000000002</v>
      </c>
      <c r="H5" s="6">
        <f>'PRESUPUESTO 2026'!I5*1.21</f>
        <v>1064.8000000000002</v>
      </c>
      <c r="I5" s="6">
        <f>'PRESUPUESTO 2026'!J5*1.21</f>
        <v>1064.8000000000002</v>
      </c>
      <c r="J5" s="6">
        <f>'PRESUPUESTO 2026'!K5*1.21</f>
        <v>1064.8000000000002</v>
      </c>
      <c r="K5" s="6">
        <f>'PRESUPUESTO 2026'!L5*1.21</f>
        <v>1064.8000000000002</v>
      </c>
      <c r="L5" s="6">
        <f>'PRESUPUESTO 2026'!M5*1.21</f>
        <v>1064.8000000000002</v>
      </c>
      <c r="M5" s="6">
        <f>'PRESUPUESTO 2026'!N5*1.21</f>
        <v>1064.8000000000002</v>
      </c>
    </row>
    <row r="6" spans="1:14" customFormat="1" x14ac:dyDescent="0.3">
      <c r="A6" s="9" t="s">
        <v>74</v>
      </c>
      <c r="B6" s="6">
        <f>'PRESUPUESTO 2026'!C6*1.21</f>
        <v>45254</v>
      </c>
      <c r="C6" s="6">
        <f>'PRESUPUESTO 2026'!D6*1.21</f>
        <v>42592</v>
      </c>
      <c r="D6" s="6">
        <f>'PRESUPUESTO 2026'!E6*1.21</f>
        <v>47916</v>
      </c>
      <c r="E6" s="6">
        <f>'PRESUPUESTO 2026'!F6*1.21</f>
        <v>50578</v>
      </c>
      <c r="F6" s="6">
        <f>'PRESUPUESTO 2026'!G6*1.21</f>
        <v>53240</v>
      </c>
      <c r="G6" s="6">
        <f>'PRESUPUESTO 2026'!H6*1.21</f>
        <v>55902.000000000007</v>
      </c>
      <c r="H6" s="6">
        <f>'PRESUPUESTO 2026'!I6*1.21</f>
        <v>58564.000000000007</v>
      </c>
      <c r="I6" s="6">
        <f>'PRESUPUESTO 2026'!J6*1.21</f>
        <v>61226.000000000007</v>
      </c>
      <c r="J6" s="6">
        <f>'PRESUPUESTO 2026'!K6*1.21</f>
        <v>53240</v>
      </c>
      <c r="K6" s="6">
        <f>'PRESUPUESTO 2026'!L6*1.21</f>
        <v>50578</v>
      </c>
      <c r="L6" s="6">
        <f>'PRESUPUESTO 2026'!M6*1.21</f>
        <v>47916</v>
      </c>
      <c r="M6" s="6">
        <f>'PRESUPUESTO 2026'!N6*1.21</f>
        <v>63888.000000000007</v>
      </c>
    </row>
    <row r="7" spans="1:14" customFormat="1" x14ac:dyDescent="0.3">
      <c r="A7" s="9" t="s">
        <v>75</v>
      </c>
      <c r="B7" s="6">
        <f>'PRESUPUESTO 2026'!C7*1.21</f>
        <v>266.20000000000005</v>
      </c>
      <c r="C7" s="6">
        <f>'PRESUPUESTO 2026'!D7*1.21</f>
        <v>266.20000000000005</v>
      </c>
      <c r="D7" s="6">
        <f>'PRESUPUESTO 2026'!E7*1.21</f>
        <v>266.20000000000005</v>
      </c>
      <c r="E7" s="6">
        <f>'PRESUPUESTO 2026'!F7*1.21</f>
        <v>266.20000000000005</v>
      </c>
      <c r="F7" s="6">
        <f>'PRESUPUESTO 2026'!G7*1.21</f>
        <v>266.20000000000005</v>
      </c>
      <c r="G7" s="6">
        <f>'PRESUPUESTO 2026'!H7*1.21</f>
        <v>266.20000000000005</v>
      </c>
      <c r="H7" s="6">
        <f>'PRESUPUESTO 2026'!I7*1.21</f>
        <v>266.20000000000005</v>
      </c>
      <c r="I7" s="6">
        <f>'PRESUPUESTO 2026'!J7*1.21</f>
        <v>266.20000000000005</v>
      </c>
      <c r="J7" s="6">
        <f>'PRESUPUESTO 2026'!K7*1.21</f>
        <v>266.20000000000005</v>
      </c>
      <c r="K7" s="6">
        <f>'PRESUPUESTO 2026'!L7*1.21</f>
        <v>266.20000000000005</v>
      </c>
      <c r="L7" s="6">
        <f>'PRESUPUESTO 2026'!M7*1.21</f>
        <v>266.20000000000005</v>
      </c>
      <c r="M7" s="6">
        <f>'PRESUPUESTO 2026'!N7*1.21</f>
        <v>266.20000000000005</v>
      </c>
    </row>
    <row r="8" spans="1:14" customFormat="1" x14ac:dyDescent="0.3">
      <c r="A8" s="4" t="s">
        <v>50</v>
      </c>
      <c r="B8" s="5">
        <f>B9+B10+B11+B30</f>
        <v>97810.65</v>
      </c>
      <c r="C8" s="5">
        <f>C9+C10+C11+C30</f>
        <v>95269.65</v>
      </c>
      <c r="D8" s="5">
        <f t="shared" ref="D8:M8" si="1">D9+D10+D11+D30</f>
        <v>97810.65</v>
      </c>
      <c r="E8" s="5">
        <f t="shared" si="1"/>
        <v>99081.15</v>
      </c>
      <c r="F8" s="5">
        <f t="shared" si="1"/>
        <v>100351.65000000001</v>
      </c>
      <c r="G8" s="5">
        <f t="shared" si="1"/>
        <v>101622.15</v>
      </c>
      <c r="H8" s="5">
        <f t="shared" si="1"/>
        <v>104163.15</v>
      </c>
      <c r="I8" s="5">
        <f t="shared" si="1"/>
        <v>105433.65000000001</v>
      </c>
      <c r="J8" s="5">
        <f t="shared" si="1"/>
        <v>100351.65</v>
      </c>
      <c r="K8" s="5">
        <f t="shared" si="1"/>
        <v>99081.15</v>
      </c>
      <c r="L8" s="5">
        <f t="shared" si="1"/>
        <v>97810.65</v>
      </c>
      <c r="M8" s="5">
        <f t="shared" si="1"/>
        <v>114406.95000000001</v>
      </c>
    </row>
    <row r="9" spans="1:14" customFormat="1" x14ac:dyDescent="0.3">
      <c r="A9" s="2" t="s">
        <v>51</v>
      </c>
      <c r="B9" s="148">
        <f>'PRESUPUESTO 2026'!C8*1.21</f>
        <v>31330.53</v>
      </c>
      <c r="C9" s="148">
        <f>'PRESUPUESTO 2026'!D8*1.21</f>
        <v>28980.105</v>
      </c>
      <c r="D9" s="148">
        <f>'PRESUPUESTO 2026'!E8*1.21</f>
        <v>31965.78</v>
      </c>
      <c r="E9" s="148">
        <f>'PRESUPUESTO 2026'!F8*1.21</f>
        <v>33744.479999999996</v>
      </c>
      <c r="F9" s="148">
        <f>'PRESUPUESTO 2026'!G8*1.21</f>
        <v>35396.129999999997</v>
      </c>
      <c r="G9" s="148">
        <f>'PRESUPUESTO 2026'!H8*1.21</f>
        <v>36920.729999999996</v>
      </c>
      <c r="H9" s="148">
        <f>'PRESUPUESTO 2026'!I8*1.21</f>
        <v>39588.78</v>
      </c>
      <c r="I9" s="148">
        <f>'PRESUPUESTO 2026'!J8*1.21</f>
        <v>40795.754999999997</v>
      </c>
      <c r="J9" s="148">
        <f>'PRESUPUESTO 2026'!K8*1.21</f>
        <v>35459.654999999999</v>
      </c>
      <c r="K9" s="148">
        <f>'PRESUPUESTO 2026'!L8*1.21</f>
        <v>33744.479999999996</v>
      </c>
      <c r="L9" s="148">
        <f>'PRESUPUESTO 2026'!M8*1.21</f>
        <v>31965.78</v>
      </c>
      <c r="M9" s="148">
        <f>'PRESUPUESTO 2026'!N8*1.21</f>
        <v>42256.83</v>
      </c>
    </row>
    <row r="10" spans="1:14" customFormat="1" x14ac:dyDescent="0.3">
      <c r="A10" s="2" t="s">
        <v>52</v>
      </c>
      <c r="B10" s="148">
        <f>'PRESUPUESTO 2026'!C15</f>
        <v>39375</v>
      </c>
      <c r="C10" s="148">
        <f>'PRESUPUESTO 2026'!D15</f>
        <v>39375</v>
      </c>
      <c r="D10" s="148">
        <f>'PRESUPUESTO 2026'!E15</f>
        <v>39375</v>
      </c>
      <c r="E10" s="148">
        <f>'PRESUPUESTO 2026'!F15</f>
        <v>39375</v>
      </c>
      <c r="F10" s="148">
        <f>'PRESUPUESTO 2026'!G15</f>
        <v>39375</v>
      </c>
      <c r="G10" s="148">
        <f>'PRESUPUESTO 2026'!H15</f>
        <v>39375</v>
      </c>
      <c r="H10" s="148">
        <f>'PRESUPUESTO 2026'!I15</f>
        <v>39375</v>
      </c>
      <c r="I10" s="148">
        <f>'PRESUPUESTO 2026'!J15</f>
        <v>39375</v>
      </c>
      <c r="J10" s="148">
        <f>'PRESUPUESTO 2026'!K15</f>
        <v>39375</v>
      </c>
      <c r="K10" s="148">
        <f>'PRESUPUESTO 2026'!L15</f>
        <v>39375</v>
      </c>
      <c r="L10" s="148">
        <f>'PRESUPUESTO 2026'!M15</f>
        <v>39375</v>
      </c>
      <c r="M10" s="148">
        <f>'PRESUPUESTO 2026'!N15</f>
        <v>45045</v>
      </c>
      <c r="N10" s="147"/>
    </row>
    <row r="11" spans="1:14" customFormat="1" x14ac:dyDescent="0.3">
      <c r="A11" s="28" t="s">
        <v>82</v>
      </c>
      <c r="B11" s="7">
        <f>SUM(B12:B29)</f>
        <v>18600.120000000003</v>
      </c>
      <c r="C11" s="7">
        <f t="shared" ref="C11:M11" si="2">SUM(C12:C29)</f>
        <v>18409.545000000002</v>
      </c>
      <c r="D11" s="7">
        <f t="shared" si="2"/>
        <v>17964.870000000003</v>
      </c>
      <c r="E11" s="7">
        <f t="shared" si="2"/>
        <v>17456.670000000002</v>
      </c>
      <c r="F11" s="7">
        <f t="shared" si="2"/>
        <v>17075.52</v>
      </c>
      <c r="G11" s="7">
        <f t="shared" si="2"/>
        <v>16821.419999999998</v>
      </c>
      <c r="H11" s="7">
        <f t="shared" si="2"/>
        <v>16694.37</v>
      </c>
      <c r="I11" s="7">
        <f t="shared" si="2"/>
        <v>16757.895</v>
      </c>
      <c r="J11" s="7">
        <f t="shared" si="2"/>
        <v>17011.995000000003</v>
      </c>
      <c r="K11" s="7">
        <f t="shared" si="2"/>
        <v>17456.670000000002</v>
      </c>
      <c r="L11" s="7">
        <f t="shared" si="2"/>
        <v>17964.870000000003</v>
      </c>
      <c r="M11" s="7">
        <f t="shared" si="2"/>
        <v>18600.120000000003</v>
      </c>
    </row>
    <row r="12" spans="1:14" customFormat="1" x14ac:dyDescent="0.3">
      <c r="A12" t="str">
        <f>'PRESUPUESTO 2026'!B21</f>
        <v>Reparaciones y conservación</v>
      </c>
      <c r="B12" s="6">
        <f>'PRESUPUESTO 2026'!C21*1.21</f>
        <v>1524.6</v>
      </c>
      <c r="C12" s="6">
        <f>'PRESUPUESTO 2026'!D21*1.21</f>
        <v>1524.6</v>
      </c>
      <c r="D12" s="6">
        <f>'PRESUPUESTO 2026'!E21*1.21</f>
        <v>1524.6</v>
      </c>
      <c r="E12" s="6">
        <f>'PRESUPUESTO 2026'!F21*1.21</f>
        <v>1524.6</v>
      </c>
      <c r="F12" s="6">
        <f>'PRESUPUESTO 2026'!G21*1.21</f>
        <v>1524.6</v>
      </c>
      <c r="G12" s="6">
        <f>'PRESUPUESTO 2026'!H21*1.21</f>
        <v>1524.6</v>
      </c>
      <c r="H12" s="6">
        <f>'PRESUPUESTO 2026'!I21*1.21</f>
        <v>1524.6</v>
      </c>
      <c r="I12" s="6">
        <f>'PRESUPUESTO 2026'!J21*1.21</f>
        <v>1524.6</v>
      </c>
      <c r="J12" s="6">
        <f>'PRESUPUESTO 2026'!K21*1.21</f>
        <v>1524.6</v>
      </c>
      <c r="K12" s="6">
        <f>'PRESUPUESTO 2026'!L21*1.21</f>
        <v>1524.6</v>
      </c>
      <c r="L12" s="6">
        <f>'PRESUPUESTO 2026'!M21*1.21</f>
        <v>1524.6</v>
      </c>
      <c r="M12" s="6">
        <f>'PRESUPUESTO 2026'!N21*1.21</f>
        <v>1524.6</v>
      </c>
    </row>
    <row r="13" spans="1:14" customFormat="1" x14ac:dyDescent="0.3">
      <c r="A13" s="3" t="str">
        <f>'PRESUPUESTO 2026'!B22</f>
        <v>Servicios de profesionales independientes</v>
      </c>
      <c r="B13" s="6">
        <f>'PRESUPUESTO 2026'!C22*1.21</f>
        <v>1143.45</v>
      </c>
      <c r="C13" s="6">
        <f>'PRESUPUESTO 2026'!D22*1.21</f>
        <v>1143.45</v>
      </c>
      <c r="D13" s="6">
        <f>'PRESUPUESTO 2026'!E22*1.21</f>
        <v>1143.45</v>
      </c>
      <c r="E13" s="6">
        <f>'PRESUPUESTO 2026'!F22*1.21</f>
        <v>1143.45</v>
      </c>
      <c r="F13" s="6">
        <f>'PRESUPUESTO 2026'!G22*1.21</f>
        <v>1143.45</v>
      </c>
      <c r="G13" s="6">
        <f>'PRESUPUESTO 2026'!H22*1.21</f>
        <v>1143.45</v>
      </c>
      <c r="H13" s="6">
        <f>'PRESUPUESTO 2026'!I22*1.21</f>
        <v>1143.45</v>
      </c>
      <c r="I13" s="6">
        <f>'PRESUPUESTO 2026'!J22*1.21</f>
        <v>1143.45</v>
      </c>
      <c r="J13" s="6">
        <f>'PRESUPUESTO 2026'!K22*1.21</f>
        <v>1143.45</v>
      </c>
      <c r="K13" s="6">
        <f>'PRESUPUESTO 2026'!L22*1.21</f>
        <v>1143.45</v>
      </c>
      <c r="L13" s="6">
        <f>'PRESUPUESTO 2026'!M22*1.21</f>
        <v>1143.45</v>
      </c>
      <c r="M13" s="6">
        <f>'PRESUPUESTO 2026'!N22*1.21</f>
        <v>1143.45</v>
      </c>
    </row>
    <row r="14" spans="1:14" customFormat="1" x14ac:dyDescent="0.3">
      <c r="A14" s="3" t="str">
        <f>'PRESUPUESTO 2026'!B25</f>
        <v>Otros servicios</v>
      </c>
      <c r="B14" s="6">
        <f>'PRESUPUESTO 2026'!C25*1.21</f>
        <v>2795.1</v>
      </c>
      <c r="C14" s="6">
        <f>'PRESUPUESTO 2026'!D25*1.21</f>
        <v>2795.1</v>
      </c>
      <c r="D14" s="6">
        <f>'PRESUPUESTO 2026'!E25*1.21</f>
        <v>2795.1</v>
      </c>
      <c r="E14" s="6">
        <f>'PRESUPUESTO 2026'!F25*1.21</f>
        <v>2795.1</v>
      </c>
      <c r="F14" s="6">
        <f>'PRESUPUESTO 2026'!G25*1.21</f>
        <v>2795.1</v>
      </c>
      <c r="G14" s="6">
        <f>'PRESUPUESTO 2026'!H25*1.21</f>
        <v>2795.1</v>
      </c>
      <c r="H14" s="6">
        <f>'PRESUPUESTO 2026'!I25*1.21</f>
        <v>2795.1</v>
      </c>
      <c r="I14" s="6">
        <f>'PRESUPUESTO 2026'!J25*1.21</f>
        <v>2795.1</v>
      </c>
      <c r="J14" s="6">
        <f>'PRESUPUESTO 2026'!K25*1.21</f>
        <v>2795.1</v>
      </c>
      <c r="K14" s="6">
        <f>'PRESUPUESTO 2026'!L25*1.21</f>
        <v>2795.1</v>
      </c>
      <c r="L14" s="6">
        <f>'PRESUPUESTO 2026'!M25*1.21</f>
        <v>2795.1</v>
      </c>
      <c r="M14" s="6">
        <f>'PRESUPUESTO 2026'!N25*1.21</f>
        <v>2795.1</v>
      </c>
    </row>
    <row r="15" spans="1:14" customFormat="1" x14ac:dyDescent="0.3">
      <c r="A15" s="3" t="str">
        <f>'PRESUPUESTO 2026'!B27</f>
        <v>Suministros (varios)</v>
      </c>
      <c r="B15" s="6">
        <f>'PRESUPUESTO 2026'!C27*1.21</f>
        <v>508.2</v>
      </c>
      <c r="C15" s="6">
        <f>'PRESUPUESTO 2026'!D27*1.21</f>
        <v>508.2</v>
      </c>
      <c r="D15" s="6">
        <f>'PRESUPUESTO 2026'!E27*1.21</f>
        <v>508.2</v>
      </c>
      <c r="E15" s="6">
        <f>'PRESUPUESTO 2026'!F27*1.21</f>
        <v>508.2</v>
      </c>
      <c r="F15" s="6">
        <f>'PRESUPUESTO 2026'!G27*1.21</f>
        <v>508.2</v>
      </c>
      <c r="G15" s="6">
        <f>'PRESUPUESTO 2026'!H27*1.21</f>
        <v>508.2</v>
      </c>
      <c r="H15" s="6">
        <f>'PRESUPUESTO 2026'!I27*1.21</f>
        <v>508.2</v>
      </c>
      <c r="I15" s="6">
        <f>'PRESUPUESTO 2026'!J27*1.21</f>
        <v>508.2</v>
      </c>
      <c r="J15" s="6">
        <f>'PRESUPUESTO 2026'!K27*1.21</f>
        <v>508.2</v>
      </c>
      <c r="K15" s="6">
        <f>'PRESUPUESTO 2026'!L27*1.21</f>
        <v>508.2</v>
      </c>
      <c r="L15" s="6">
        <f>'PRESUPUESTO 2026'!M27*1.21</f>
        <v>508.2</v>
      </c>
      <c r="M15" s="6">
        <f>'PRESUPUESTO 2026'!N27*1.21</f>
        <v>508.2</v>
      </c>
    </row>
    <row r="16" spans="1:14" customFormat="1" x14ac:dyDescent="0.3">
      <c r="A16" s="3" t="str">
        <f>'PRESUPUESTO 2026'!B28</f>
        <v>Telefonía</v>
      </c>
      <c r="B16" s="6">
        <f>'PRESUPUESTO 2026'!C28*1.21</f>
        <v>279.51</v>
      </c>
      <c r="C16" s="6">
        <f>'PRESUPUESTO 2026'!D28*1.21</f>
        <v>279.51</v>
      </c>
      <c r="D16" s="6">
        <f>'PRESUPUESTO 2026'!E28*1.21</f>
        <v>279.51</v>
      </c>
      <c r="E16" s="6">
        <f>'PRESUPUESTO 2026'!F28*1.21</f>
        <v>279.51</v>
      </c>
      <c r="F16" s="6">
        <f>'PRESUPUESTO 2026'!G28*1.21</f>
        <v>279.51</v>
      </c>
      <c r="G16" s="6">
        <f>'PRESUPUESTO 2026'!H28*1.21</f>
        <v>279.51</v>
      </c>
      <c r="H16" s="6">
        <f>'PRESUPUESTO 2026'!I28*1.21</f>
        <v>279.51</v>
      </c>
      <c r="I16" s="6">
        <f>'PRESUPUESTO 2026'!J28*1.21</f>
        <v>279.51</v>
      </c>
      <c r="J16" s="6">
        <f>'PRESUPUESTO 2026'!K28*1.21</f>
        <v>279.51</v>
      </c>
      <c r="K16" s="6">
        <f>'PRESUPUESTO 2026'!L28*1.21</f>
        <v>279.51</v>
      </c>
      <c r="L16" s="6">
        <f>'PRESUPUESTO 2026'!M28*1.21</f>
        <v>279.51</v>
      </c>
      <c r="M16" s="6">
        <f>'PRESUPUESTO 2026'!N28*1.21</f>
        <v>279.51</v>
      </c>
    </row>
    <row r="17" spans="1:13" customFormat="1" x14ac:dyDescent="0.3">
      <c r="A17" s="3" t="str">
        <f>'PRESUPUESTO 2026'!B29</f>
        <v>Electricidad</v>
      </c>
      <c r="B17" s="6">
        <f>'PRESUPUESTO 2026'!C29*1.21</f>
        <v>4573.8</v>
      </c>
      <c r="C17" s="6">
        <f>'PRESUPUESTO 2026'!D29*1.21</f>
        <v>4446.75</v>
      </c>
      <c r="D17" s="6">
        <f>'PRESUPUESTO 2026'!E29*1.21</f>
        <v>4192.6499999999996</v>
      </c>
      <c r="E17" s="6">
        <f>'PRESUPUESTO 2026'!F29*1.21</f>
        <v>3938.5499999999997</v>
      </c>
      <c r="F17" s="6">
        <f>'PRESUPUESTO 2026'!G29*1.21</f>
        <v>3811.5</v>
      </c>
      <c r="G17" s="6">
        <f>'PRESUPUESTO 2026'!H29*1.21</f>
        <v>3684.45</v>
      </c>
      <c r="H17" s="6">
        <f>'PRESUPUESTO 2026'!I29*1.21</f>
        <v>3684.45</v>
      </c>
      <c r="I17" s="6">
        <f>'PRESUPUESTO 2026'!J29*1.21</f>
        <v>3747.9749999999999</v>
      </c>
      <c r="J17" s="6">
        <f>'PRESUPUESTO 2026'!K29*1.21</f>
        <v>3811.5</v>
      </c>
      <c r="K17" s="6">
        <f>'PRESUPUESTO 2026'!L29*1.21</f>
        <v>3938.5499999999997</v>
      </c>
      <c r="L17" s="6">
        <f>'PRESUPUESTO 2026'!M29*1.21</f>
        <v>4192.6499999999996</v>
      </c>
      <c r="M17" s="6">
        <f>'PRESUPUESTO 2026'!N29*1.21</f>
        <v>4573.8</v>
      </c>
    </row>
    <row r="18" spans="1:13" customFormat="1" x14ac:dyDescent="0.3">
      <c r="A18" s="3" t="str">
        <f>'PRESUPUESTO 2026'!B30</f>
        <v>Gas</v>
      </c>
      <c r="B18" s="6">
        <f>'PRESUPUESTO 2026'!C30*1.21</f>
        <v>3303.2999999999997</v>
      </c>
      <c r="C18" s="6">
        <f>'PRESUPUESTO 2026'!D30*1.21</f>
        <v>3239.7750000000001</v>
      </c>
      <c r="D18" s="6">
        <f>'PRESUPUESTO 2026'!E30*1.21</f>
        <v>3049.2</v>
      </c>
      <c r="E18" s="6">
        <f>'PRESUPUESTO 2026'!F30*1.21</f>
        <v>2795.1</v>
      </c>
      <c r="F18" s="6">
        <f>'PRESUPUESTO 2026'!G30*1.21</f>
        <v>2541</v>
      </c>
      <c r="G18" s="6">
        <f>'PRESUPUESTO 2026'!H30*1.21</f>
        <v>2413.9499999999998</v>
      </c>
      <c r="H18" s="6">
        <f>'PRESUPUESTO 2026'!I30*1.21</f>
        <v>2286.9</v>
      </c>
      <c r="I18" s="6">
        <f>'PRESUPUESTO 2026'!J30*1.21</f>
        <v>2286.9</v>
      </c>
      <c r="J18" s="6">
        <f>'PRESUPUESTO 2026'!K30*1.21</f>
        <v>2477.4749999999999</v>
      </c>
      <c r="K18" s="6">
        <f>'PRESUPUESTO 2026'!L30*1.21</f>
        <v>2795.1</v>
      </c>
      <c r="L18" s="6">
        <f>'PRESUPUESTO 2026'!M30*1.21</f>
        <v>3049.2</v>
      </c>
      <c r="M18" s="6">
        <f>'PRESUPUESTO 2026'!N30*1.21</f>
        <v>3303.2999999999997</v>
      </c>
    </row>
    <row r="19" spans="1:13" customFormat="1" x14ac:dyDescent="0.3">
      <c r="A19" s="3" t="str">
        <f>'PRESUPUESTO 2026'!B31</f>
        <v>Agua</v>
      </c>
      <c r="B19" s="6">
        <f>'PRESUPUESTO 2026'!C31*1.21</f>
        <v>444.67500000000001</v>
      </c>
      <c r="C19" s="6">
        <f>'PRESUPUESTO 2026'!D31*1.21</f>
        <v>444.67500000000001</v>
      </c>
      <c r="D19" s="6">
        <f>'PRESUPUESTO 2026'!E31*1.21</f>
        <v>444.67500000000001</v>
      </c>
      <c r="E19" s="6">
        <f>'PRESUPUESTO 2026'!F31*1.21</f>
        <v>444.67500000000001</v>
      </c>
      <c r="F19" s="6">
        <f>'PRESUPUESTO 2026'!G31*1.21</f>
        <v>444.67500000000001</v>
      </c>
      <c r="G19" s="6">
        <f>'PRESUPUESTO 2026'!H31*1.21</f>
        <v>444.67500000000001</v>
      </c>
      <c r="H19" s="6">
        <f>'PRESUPUESTO 2026'!I31*1.21</f>
        <v>444.67500000000001</v>
      </c>
      <c r="I19" s="6">
        <f>'PRESUPUESTO 2026'!J31*1.21</f>
        <v>444.67500000000001</v>
      </c>
      <c r="J19" s="6">
        <f>'PRESUPUESTO 2026'!K31*1.21</f>
        <v>444.67500000000001</v>
      </c>
      <c r="K19" s="6">
        <f>'PRESUPUESTO 2026'!L31*1.21</f>
        <v>444.67500000000001</v>
      </c>
      <c r="L19" s="6">
        <f>'PRESUPUESTO 2026'!M31*1.21</f>
        <v>444.67500000000001</v>
      </c>
      <c r="M19" s="6">
        <f>'PRESUPUESTO 2026'!N31*1.21</f>
        <v>444.67500000000001</v>
      </c>
    </row>
    <row r="20" spans="1:13" customFormat="1" x14ac:dyDescent="0.3">
      <c r="A20" s="3" t="str">
        <f>'PRESUPUESTO 2026'!B32</f>
        <v>Material de Oficina</v>
      </c>
      <c r="B20" s="6">
        <f>'PRESUPUESTO 2026'!C32*1.21</f>
        <v>203.28</v>
      </c>
      <c r="C20" s="6">
        <f>'PRESUPUESTO 2026'!D32*1.21</f>
        <v>203.28</v>
      </c>
      <c r="D20" s="6">
        <f>'PRESUPUESTO 2026'!E32*1.21</f>
        <v>203.28</v>
      </c>
      <c r="E20" s="6">
        <f>'PRESUPUESTO 2026'!F32*1.21</f>
        <v>203.28</v>
      </c>
      <c r="F20" s="6">
        <f>'PRESUPUESTO 2026'!G32*1.21</f>
        <v>203.28</v>
      </c>
      <c r="G20" s="6">
        <f>'PRESUPUESTO 2026'!H32*1.21</f>
        <v>203.28</v>
      </c>
      <c r="H20" s="6">
        <f>'PRESUPUESTO 2026'!I32*1.21</f>
        <v>203.28</v>
      </c>
      <c r="I20" s="6">
        <f>'PRESUPUESTO 2026'!J32*1.21</f>
        <v>203.28</v>
      </c>
      <c r="J20" s="6">
        <f>'PRESUPUESTO 2026'!K32*1.21</f>
        <v>203.28</v>
      </c>
      <c r="K20" s="6">
        <f>'PRESUPUESTO 2026'!L32*1.21</f>
        <v>203.28</v>
      </c>
      <c r="L20" s="6">
        <f>'PRESUPUESTO 2026'!M32*1.21</f>
        <v>203.28</v>
      </c>
      <c r="M20" s="6">
        <f>'PRESUPUESTO 2026'!N32*1.21</f>
        <v>203.28</v>
      </c>
    </row>
    <row r="21" spans="1:13" customFormat="1" x14ac:dyDescent="0.3">
      <c r="A21" s="3" t="str">
        <f>'PRESUPUESTO 2026'!B35</f>
        <v>Restaurantes</v>
      </c>
      <c r="B21" s="6">
        <f>'PRESUPUESTO 2026'!C35*1.21</f>
        <v>317.625</v>
      </c>
      <c r="C21" s="6">
        <f>'PRESUPUESTO 2026'!D35*1.21</f>
        <v>317.625</v>
      </c>
      <c r="D21" s="6">
        <f>'PRESUPUESTO 2026'!E35*1.21</f>
        <v>317.625</v>
      </c>
      <c r="E21" s="6">
        <f>'PRESUPUESTO 2026'!F35*1.21</f>
        <v>317.625</v>
      </c>
      <c r="F21" s="6">
        <f>'PRESUPUESTO 2026'!G35*1.21</f>
        <v>317.625</v>
      </c>
      <c r="G21" s="6">
        <f>'PRESUPUESTO 2026'!H35*1.21</f>
        <v>317.625</v>
      </c>
      <c r="H21" s="6">
        <f>'PRESUPUESTO 2026'!I35*1.21</f>
        <v>317.625</v>
      </c>
      <c r="I21" s="6">
        <f>'PRESUPUESTO 2026'!J35*1.21</f>
        <v>317.625</v>
      </c>
      <c r="J21" s="6">
        <f>'PRESUPUESTO 2026'!K35*1.21</f>
        <v>317.625</v>
      </c>
      <c r="K21" s="6">
        <f>'PRESUPUESTO 2026'!L35*1.21</f>
        <v>317.625</v>
      </c>
      <c r="L21" s="6">
        <f>'PRESUPUESTO 2026'!M35*1.21</f>
        <v>317.625</v>
      </c>
      <c r="M21" s="6">
        <f>'PRESUPUESTO 2026'!N35*1.21</f>
        <v>317.625</v>
      </c>
    </row>
    <row r="22" spans="1:13" customFormat="1" x14ac:dyDescent="0.3">
      <c r="A22" s="3" t="str">
        <f>'PRESUPUESTO 2026'!B36</f>
        <v>Repostaje</v>
      </c>
      <c r="B22" s="6">
        <f>'PRESUPUESTO 2026'!C36*1.21</f>
        <v>444.67500000000001</v>
      </c>
      <c r="C22" s="6">
        <f>'PRESUPUESTO 2026'!D36*1.21</f>
        <v>444.67500000000001</v>
      </c>
      <c r="D22" s="6">
        <f>'PRESUPUESTO 2026'!E36*1.21</f>
        <v>444.67500000000001</v>
      </c>
      <c r="E22" s="6">
        <f>'PRESUPUESTO 2026'!F36*1.21</f>
        <v>444.67500000000001</v>
      </c>
      <c r="F22" s="6">
        <f>'PRESUPUESTO 2026'!G36*1.21</f>
        <v>444.67500000000001</v>
      </c>
      <c r="G22" s="6">
        <f>'PRESUPUESTO 2026'!H36*1.21</f>
        <v>444.67500000000001</v>
      </c>
      <c r="H22" s="6">
        <f>'PRESUPUESTO 2026'!I36*1.21</f>
        <v>444.67500000000001</v>
      </c>
      <c r="I22" s="6">
        <f>'PRESUPUESTO 2026'!J36*1.21</f>
        <v>444.67500000000001</v>
      </c>
      <c r="J22" s="6">
        <f>'PRESUPUESTO 2026'!K36*1.21</f>
        <v>444.67500000000001</v>
      </c>
      <c r="K22" s="6">
        <f>'PRESUPUESTO 2026'!L36*1.21</f>
        <v>444.67500000000001</v>
      </c>
      <c r="L22" s="6">
        <f>'PRESUPUESTO 2026'!M36*1.21</f>
        <v>444.67500000000001</v>
      </c>
      <c r="M22" s="6">
        <f>'PRESUPUESTO 2026'!N36*1.21</f>
        <v>444.67500000000001</v>
      </c>
    </row>
    <row r="23" spans="1:13" customFormat="1" x14ac:dyDescent="0.3">
      <c r="A23" s="3" t="str">
        <f>'PRESUPUESTO 2026'!B37</f>
        <v>Telepeaje</v>
      </c>
      <c r="B23" s="6">
        <f>'PRESUPUESTO 2026'!C37*1.21</f>
        <v>76.23</v>
      </c>
      <c r="C23" s="6">
        <f>'PRESUPUESTO 2026'!D37*1.21</f>
        <v>76.23</v>
      </c>
      <c r="D23" s="6">
        <f>'PRESUPUESTO 2026'!E37*1.21</f>
        <v>76.23</v>
      </c>
      <c r="E23" s="6">
        <f>'PRESUPUESTO 2026'!F37*1.21</f>
        <v>76.23</v>
      </c>
      <c r="F23" s="6">
        <f>'PRESUPUESTO 2026'!G37*1.21</f>
        <v>76.23</v>
      </c>
      <c r="G23" s="6">
        <f>'PRESUPUESTO 2026'!H37*1.21</f>
        <v>76.23</v>
      </c>
      <c r="H23" s="6">
        <f>'PRESUPUESTO 2026'!I37*1.21</f>
        <v>76.23</v>
      </c>
      <c r="I23" s="6">
        <f>'PRESUPUESTO 2026'!J37*1.21</f>
        <v>76.23</v>
      </c>
      <c r="J23" s="6">
        <f>'PRESUPUESTO 2026'!K37*1.21</f>
        <v>76.23</v>
      </c>
      <c r="K23" s="6">
        <f>'PRESUPUESTO 2026'!L37*1.21</f>
        <v>76.23</v>
      </c>
      <c r="L23" s="6">
        <f>'PRESUPUESTO 2026'!M37*1.21</f>
        <v>76.23</v>
      </c>
      <c r="M23" s="6">
        <f>'PRESUPUESTO 2026'!N37*1.21</f>
        <v>76.23</v>
      </c>
    </row>
    <row r="24" spans="1:13" customFormat="1" x14ac:dyDescent="0.3">
      <c r="A24" s="3" t="str">
        <f>'PRESUPUESTO 2026'!B38</f>
        <v>Gastos lavado coche</v>
      </c>
      <c r="B24" s="6">
        <f>'PRESUPUESTO 2026'!C38*1.21</f>
        <v>50.82</v>
      </c>
      <c r="C24" s="6">
        <f>'PRESUPUESTO 2026'!D38*1.21</f>
        <v>50.82</v>
      </c>
      <c r="D24" s="6">
        <f>'PRESUPUESTO 2026'!E38*1.21</f>
        <v>50.82</v>
      </c>
      <c r="E24" s="6">
        <f>'PRESUPUESTO 2026'!F38*1.21</f>
        <v>50.82</v>
      </c>
      <c r="F24" s="6">
        <f>'PRESUPUESTO 2026'!G38*1.21</f>
        <v>50.82</v>
      </c>
      <c r="G24" s="6">
        <f>'PRESUPUESTO 2026'!H38*1.21</f>
        <v>50.82</v>
      </c>
      <c r="H24" s="6">
        <f>'PRESUPUESTO 2026'!I38*1.21</f>
        <v>50.82</v>
      </c>
      <c r="I24" s="6">
        <f>'PRESUPUESTO 2026'!J38*1.21</f>
        <v>50.82</v>
      </c>
      <c r="J24" s="6">
        <f>'PRESUPUESTO 2026'!K38*1.21</f>
        <v>50.82</v>
      </c>
      <c r="K24" s="6">
        <f>'PRESUPUESTO 2026'!L38*1.21</f>
        <v>50.82</v>
      </c>
      <c r="L24" s="6">
        <f>'PRESUPUESTO 2026'!M38*1.21</f>
        <v>50.82</v>
      </c>
      <c r="M24" s="6">
        <f>'PRESUPUESTO 2026'!N38*1.21</f>
        <v>50.82</v>
      </c>
    </row>
    <row r="25" spans="1:13" customFormat="1" x14ac:dyDescent="0.3">
      <c r="A25" s="3" t="str">
        <f>'PRESUPUESTO 2026'!B39</f>
        <v>Gastos limpieza</v>
      </c>
      <c r="B25" s="6">
        <f>'PRESUPUESTO 2026'!C39*1.21</f>
        <v>1524.6</v>
      </c>
      <c r="C25" s="6">
        <f>'PRESUPUESTO 2026'!D39*1.21</f>
        <v>1524.6</v>
      </c>
      <c r="D25" s="6">
        <f>'PRESUPUESTO 2026'!E39*1.21</f>
        <v>1524.6</v>
      </c>
      <c r="E25" s="6">
        <f>'PRESUPUESTO 2026'!F39*1.21</f>
        <v>1524.6</v>
      </c>
      <c r="F25" s="6">
        <f>'PRESUPUESTO 2026'!G39*1.21</f>
        <v>1524.6</v>
      </c>
      <c r="G25" s="6">
        <f>'PRESUPUESTO 2026'!H39*1.21</f>
        <v>1524.6</v>
      </c>
      <c r="H25" s="6">
        <f>'PRESUPUESTO 2026'!I39*1.21</f>
        <v>1524.6</v>
      </c>
      <c r="I25" s="6">
        <f>'PRESUPUESTO 2026'!J39*1.21</f>
        <v>1524.6</v>
      </c>
      <c r="J25" s="6">
        <f>'PRESUPUESTO 2026'!K39*1.21</f>
        <v>1524.6</v>
      </c>
      <c r="K25" s="6">
        <f>'PRESUPUESTO 2026'!L39*1.21</f>
        <v>1524.6</v>
      </c>
      <c r="L25" s="6">
        <f>'PRESUPUESTO 2026'!M39*1.21</f>
        <v>1524.6</v>
      </c>
      <c r="M25" s="6">
        <f>'PRESUPUESTO 2026'!N39*1.21</f>
        <v>1524.6</v>
      </c>
    </row>
    <row r="26" spans="1:13" customFormat="1" x14ac:dyDescent="0.3">
      <c r="A26" s="3" t="str">
        <f>'PRESUPUESTO 2026'!B40</f>
        <v>Compra dispositivo a plazos</v>
      </c>
      <c r="B26" s="6">
        <f>'PRESUPUESTO 2026'!C40*1.21</f>
        <v>508.2</v>
      </c>
      <c r="C26" s="6">
        <f>'PRESUPUESTO 2026'!D40*1.21</f>
        <v>508.2</v>
      </c>
      <c r="D26" s="6">
        <f>'PRESUPUESTO 2026'!E40*1.21</f>
        <v>508.2</v>
      </c>
      <c r="E26" s="6">
        <f>'PRESUPUESTO 2026'!F40*1.21</f>
        <v>508.2</v>
      </c>
      <c r="F26" s="6">
        <f>'PRESUPUESTO 2026'!G40*1.21</f>
        <v>508.2</v>
      </c>
      <c r="G26" s="6">
        <f>'PRESUPUESTO 2026'!H40*1.21</f>
        <v>508.2</v>
      </c>
      <c r="H26" s="6">
        <f>'PRESUPUESTO 2026'!I40*1.21</f>
        <v>508.2</v>
      </c>
      <c r="I26" s="6">
        <f>'PRESUPUESTO 2026'!J40*1.21</f>
        <v>508.2</v>
      </c>
      <c r="J26" s="6">
        <f>'PRESUPUESTO 2026'!K40*1.21</f>
        <v>508.2</v>
      </c>
      <c r="K26" s="6">
        <f>'PRESUPUESTO 2026'!L40*1.21</f>
        <v>508.2</v>
      </c>
      <c r="L26" s="6">
        <f>'PRESUPUESTO 2026'!M40*1.21</f>
        <v>508.2</v>
      </c>
      <c r="M26" s="6">
        <f>'PRESUPUESTO 2026'!N40*1.21</f>
        <v>508.2</v>
      </c>
    </row>
    <row r="27" spans="1:13" customFormat="1" x14ac:dyDescent="0.3">
      <c r="A27" s="3" t="str">
        <f>'PRESUPUESTO 2026'!B41</f>
        <v>Compras de libros</v>
      </c>
      <c r="B27" s="6">
        <f>'PRESUPUESTO 2026'!C41*1.21</f>
        <v>38.115000000000002</v>
      </c>
      <c r="C27" s="6">
        <f>'PRESUPUESTO 2026'!D41*1.21</f>
        <v>38.115000000000002</v>
      </c>
      <c r="D27" s="6">
        <f>'PRESUPUESTO 2026'!E41*1.21</f>
        <v>38.115000000000002</v>
      </c>
      <c r="E27" s="6">
        <f>'PRESUPUESTO 2026'!F41*1.21</f>
        <v>38.115000000000002</v>
      </c>
      <c r="F27" s="6">
        <f>'PRESUPUESTO 2026'!G41*1.21</f>
        <v>38.115000000000002</v>
      </c>
      <c r="G27" s="6">
        <f>'PRESUPUESTO 2026'!H41*1.21</f>
        <v>38.115000000000002</v>
      </c>
      <c r="H27" s="6">
        <f>'PRESUPUESTO 2026'!I41*1.21</f>
        <v>38.115000000000002</v>
      </c>
      <c r="I27" s="6">
        <f>'PRESUPUESTO 2026'!J41*1.21</f>
        <v>38.115000000000002</v>
      </c>
      <c r="J27" s="6">
        <f>'PRESUPUESTO 2026'!K41*1.21</f>
        <v>38.115000000000002</v>
      </c>
      <c r="K27" s="6">
        <f>'PRESUPUESTO 2026'!L41*1.21</f>
        <v>38.115000000000002</v>
      </c>
      <c r="L27" s="6">
        <f>'PRESUPUESTO 2026'!M41*1.21</f>
        <v>38.115000000000002</v>
      </c>
      <c r="M27" s="6">
        <f>'PRESUPUESTO 2026'!N41*1.21</f>
        <v>38.115000000000002</v>
      </c>
    </row>
    <row r="28" spans="1:13" customFormat="1" x14ac:dyDescent="0.3">
      <c r="A28" s="3" t="str">
        <f>'PRESUPUESTO 2026'!B42</f>
        <v>Gastos informáticos</v>
      </c>
      <c r="B28" s="6">
        <f>'PRESUPUESTO 2026'!C42*1.21</f>
        <v>825.82499999999993</v>
      </c>
      <c r="C28" s="6">
        <f>'PRESUPUESTO 2026'!D42*1.21</f>
        <v>825.82499999999993</v>
      </c>
      <c r="D28" s="6">
        <f>'PRESUPUESTO 2026'!E42*1.21</f>
        <v>825.82499999999993</v>
      </c>
      <c r="E28" s="6">
        <f>'PRESUPUESTO 2026'!F42*1.21</f>
        <v>825.82499999999993</v>
      </c>
      <c r="F28" s="6">
        <f>'PRESUPUESTO 2026'!G42*1.21</f>
        <v>825.82499999999993</v>
      </c>
      <c r="G28" s="6">
        <f>'PRESUPUESTO 2026'!H42*1.21</f>
        <v>825.82499999999993</v>
      </c>
      <c r="H28" s="6">
        <f>'PRESUPUESTO 2026'!I42*1.21</f>
        <v>825.82499999999993</v>
      </c>
      <c r="I28" s="6">
        <f>'PRESUPUESTO 2026'!J42*1.21</f>
        <v>825.82499999999993</v>
      </c>
      <c r="J28" s="6">
        <f>'PRESUPUESTO 2026'!K42*1.21</f>
        <v>825.82499999999993</v>
      </c>
      <c r="K28" s="6">
        <f>'PRESUPUESTO 2026'!L42*1.21</f>
        <v>825.82499999999993</v>
      </c>
      <c r="L28" s="6">
        <f>'PRESUPUESTO 2026'!M42*1.21</f>
        <v>825.82499999999993</v>
      </c>
      <c r="M28" s="6">
        <f>'PRESUPUESTO 2026'!N42*1.21</f>
        <v>825.82499999999993</v>
      </c>
    </row>
    <row r="29" spans="1:13" customFormat="1" x14ac:dyDescent="0.3">
      <c r="A29" s="3" t="str">
        <f>'PRESUPUESTO 2026'!B43</f>
        <v>Dominios</v>
      </c>
      <c r="B29" s="6">
        <f>'PRESUPUESTO 2026'!C43*1.21</f>
        <v>38.115000000000002</v>
      </c>
      <c r="C29" s="6">
        <f>'PRESUPUESTO 2026'!D43*1.21</f>
        <v>38.115000000000002</v>
      </c>
      <c r="D29" s="6">
        <f>'PRESUPUESTO 2026'!E43*1.21</f>
        <v>38.115000000000002</v>
      </c>
      <c r="E29" s="6">
        <f>'PRESUPUESTO 2026'!F43*1.21</f>
        <v>38.115000000000002</v>
      </c>
      <c r="F29" s="6">
        <f>'PRESUPUESTO 2026'!G43*1.21</f>
        <v>38.115000000000002</v>
      </c>
      <c r="G29" s="6">
        <f>'PRESUPUESTO 2026'!H43*1.21</f>
        <v>38.115000000000002</v>
      </c>
      <c r="H29" s="6">
        <f>'PRESUPUESTO 2026'!I43*1.21</f>
        <v>38.115000000000002</v>
      </c>
      <c r="I29" s="6">
        <f>'PRESUPUESTO 2026'!J43*1.21</f>
        <v>38.115000000000002</v>
      </c>
      <c r="J29" s="6">
        <f>'PRESUPUESTO 2026'!K43*1.21</f>
        <v>38.115000000000002</v>
      </c>
      <c r="K29" s="6">
        <f>'PRESUPUESTO 2026'!L43*1.21</f>
        <v>38.115000000000002</v>
      </c>
      <c r="L29" s="6">
        <f>'PRESUPUESTO 2026'!M43*1.21</f>
        <v>38.115000000000002</v>
      </c>
      <c r="M29" s="6">
        <f>'PRESUPUESTO 2026'!N43*1.21</f>
        <v>38.115000000000002</v>
      </c>
    </row>
    <row r="30" spans="1:13" customFormat="1" x14ac:dyDescent="0.3">
      <c r="A30" s="28" t="s">
        <v>83</v>
      </c>
      <c r="B30" s="7">
        <f>SUM(B31:B34)</f>
        <v>8505</v>
      </c>
      <c r="C30" s="7">
        <f t="shared" ref="C30:M30" si="3">SUM(C31:C34)</f>
        <v>8505</v>
      </c>
      <c r="D30" s="7">
        <f t="shared" si="3"/>
        <v>8505</v>
      </c>
      <c r="E30" s="7">
        <f t="shared" si="3"/>
        <v>8505</v>
      </c>
      <c r="F30" s="7">
        <f t="shared" si="3"/>
        <v>8505</v>
      </c>
      <c r="G30" s="7">
        <f t="shared" si="3"/>
        <v>8505</v>
      </c>
      <c r="H30" s="7">
        <f t="shared" si="3"/>
        <v>8505</v>
      </c>
      <c r="I30" s="7">
        <f t="shared" si="3"/>
        <v>8505</v>
      </c>
      <c r="J30" s="7">
        <f t="shared" si="3"/>
        <v>8505</v>
      </c>
      <c r="K30" s="7">
        <f t="shared" si="3"/>
        <v>8505</v>
      </c>
      <c r="L30" s="7">
        <f t="shared" si="3"/>
        <v>8505</v>
      </c>
      <c r="M30" s="7">
        <f t="shared" si="3"/>
        <v>8505</v>
      </c>
    </row>
    <row r="31" spans="1:13" customFormat="1" x14ac:dyDescent="0.3">
      <c r="A31" s="3" t="str">
        <f>'PRESUPUESTO 2026'!B20</f>
        <v>Alquileres</v>
      </c>
      <c r="B31" s="6">
        <f>'PRESUPUESTO 2026'!C20</f>
        <v>6825</v>
      </c>
      <c r="C31" s="6">
        <f>'PRESUPUESTO 2026'!D20</f>
        <v>6825</v>
      </c>
      <c r="D31" s="6">
        <f>'PRESUPUESTO 2026'!E20</f>
        <v>6825</v>
      </c>
      <c r="E31" s="6">
        <f>'PRESUPUESTO 2026'!F20</f>
        <v>6825</v>
      </c>
      <c r="F31" s="6">
        <f>'PRESUPUESTO 2026'!G20</f>
        <v>6825</v>
      </c>
      <c r="G31" s="6">
        <f>'PRESUPUESTO 2026'!H20</f>
        <v>6825</v>
      </c>
      <c r="H31" s="6">
        <f>'PRESUPUESTO 2026'!I20</f>
        <v>6825</v>
      </c>
      <c r="I31" s="6">
        <f>'PRESUPUESTO 2026'!J20</f>
        <v>6825</v>
      </c>
      <c r="J31" s="6">
        <f>'PRESUPUESTO 2026'!K20</f>
        <v>6825</v>
      </c>
      <c r="K31" s="6">
        <f>'PRESUPUESTO 2026'!L20</f>
        <v>6825</v>
      </c>
      <c r="L31" s="6">
        <f>'PRESUPUESTO 2026'!M20</f>
        <v>6825</v>
      </c>
      <c r="M31" s="6">
        <f>'PRESUPUESTO 2026'!N20</f>
        <v>6825</v>
      </c>
    </row>
    <row r="32" spans="1:13" customFormat="1" x14ac:dyDescent="0.3">
      <c r="A32" s="3" t="str">
        <f>'PRESUPUESTO 2026'!B23</f>
        <v>Primas de Seguros</v>
      </c>
      <c r="B32" s="6">
        <f>'PRESUPUESTO 2026'!C23</f>
        <v>472.5</v>
      </c>
      <c r="C32" s="6">
        <f>'PRESUPUESTO 2026'!D23</f>
        <v>472.5</v>
      </c>
      <c r="D32" s="6">
        <f>'PRESUPUESTO 2026'!E23</f>
        <v>472.5</v>
      </c>
      <c r="E32" s="6">
        <f>'PRESUPUESTO 2026'!F23</f>
        <v>472.5</v>
      </c>
      <c r="F32" s="6">
        <f>'PRESUPUESTO 2026'!G23</f>
        <v>472.5</v>
      </c>
      <c r="G32" s="6">
        <f>'PRESUPUESTO 2026'!H23</f>
        <v>472.5</v>
      </c>
      <c r="H32" s="6">
        <f>'PRESUPUESTO 2026'!I23</f>
        <v>472.5</v>
      </c>
      <c r="I32" s="6">
        <f>'PRESUPUESTO 2026'!J23</f>
        <v>472.5</v>
      </c>
      <c r="J32" s="6">
        <f>'PRESUPUESTO 2026'!K23</f>
        <v>472.5</v>
      </c>
      <c r="K32" s="6">
        <f>'PRESUPUESTO 2026'!L23</f>
        <v>472.5</v>
      </c>
      <c r="L32" s="6">
        <f>'PRESUPUESTO 2026'!M23</f>
        <v>472.5</v>
      </c>
      <c r="M32" s="6">
        <f>'PRESUPUESTO 2026'!N23</f>
        <v>472.5</v>
      </c>
    </row>
    <row r="33" spans="1:14" customFormat="1" x14ac:dyDescent="0.3">
      <c r="A33" s="3" t="str">
        <f>'PRESUPUESTO 2026'!B24</f>
        <v>Servicios bancarios y similares</v>
      </c>
      <c r="B33" s="6">
        <f>'PRESUPUESTO 2026'!C24</f>
        <v>262.5</v>
      </c>
      <c r="C33" s="6">
        <f>'PRESUPUESTO 2026'!D24</f>
        <v>262.5</v>
      </c>
      <c r="D33" s="6">
        <f>'PRESUPUESTO 2026'!E24</f>
        <v>262.5</v>
      </c>
      <c r="E33" s="6">
        <f>'PRESUPUESTO 2026'!F24</f>
        <v>262.5</v>
      </c>
      <c r="F33" s="6">
        <f>'PRESUPUESTO 2026'!G24</f>
        <v>262.5</v>
      </c>
      <c r="G33" s="6">
        <f>'PRESUPUESTO 2026'!H24</f>
        <v>262.5</v>
      </c>
      <c r="H33" s="6">
        <f>'PRESUPUESTO 2026'!I24</f>
        <v>262.5</v>
      </c>
      <c r="I33" s="6">
        <f>'PRESUPUESTO 2026'!J24</f>
        <v>262.5</v>
      </c>
      <c r="J33" s="6">
        <f>'PRESUPUESTO 2026'!K24</f>
        <v>262.5</v>
      </c>
      <c r="K33" s="6">
        <f>'PRESUPUESTO 2026'!L24</f>
        <v>262.5</v>
      </c>
      <c r="L33" s="6">
        <f>'PRESUPUESTO 2026'!M24</f>
        <v>262.5</v>
      </c>
      <c r="M33" s="6">
        <f>'PRESUPUESTO 2026'!N24</f>
        <v>262.5</v>
      </c>
    </row>
    <row r="34" spans="1:14" customFormat="1" x14ac:dyDescent="0.3">
      <c r="A34" s="3" t="str">
        <f>'PRESUPUESTO 2026'!B34</f>
        <v>Otros tributos</v>
      </c>
      <c r="B34" s="6">
        <f>'PRESUPUESTO 2026'!C34</f>
        <v>945</v>
      </c>
      <c r="C34" s="6">
        <f>'PRESUPUESTO 2026'!D34</f>
        <v>945</v>
      </c>
      <c r="D34" s="6">
        <f>'PRESUPUESTO 2026'!E34</f>
        <v>945</v>
      </c>
      <c r="E34" s="6">
        <f>'PRESUPUESTO 2026'!F34</f>
        <v>945</v>
      </c>
      <c r="F34" s="6">
        <f>'PRESUPUESTO 2026'!G34</f>
        <v>945</v>
      </c>
      <c r="G34" s="6">
        <f>'PRESUPUESTO 2026'!H34</f>
        <v>945</v>
      </c>
      <c r="H34" s="6">
        <f>'PRESUPUESTO 2026'!I34</f>
        <v>945</v>
      </c>
      <c r="I34" s="6">
        <f>'PRESUPUESTO 2026'!J34</f>
        <v>945</v>
      </c>
      <c r="J34" s="6">
        <f>'PRESUPUESTO 2026'!K34</f>
        <v>945</v>
      </c>
      <c r="K34" s="6">
        <f>'PRESUPUESTO 2026'!L34</f>
        <v>945</v>
      </c>
      <c r="L34" s="6">
        <f>'PRESUPUESTO 2026'!M34</f>
        <v>945</v>
      </c>
      <c r="M34" s="6">
        <f>'PRESUPUESTO 2026'!N34</f>
        <v>945</v>
      </c>
    </row>
    <row r="35" spans="1:14" customFormat="1" x14ac:dyDescent="0.3">
      <c r="A35" s="29" t="s">
        <v>53</v>
      </c>
      <c r="B35" s="30">
        <f t="shared" ref="B35:M35" si="4">B3-B8</f>
        <v>16655.350000000006</v>
      </c>
      <c r="C35" s="30">
        <f t="shared" si="4"/>
        <v>12541.35000000002</v>
      </c>
      <c r="D35" s="30">
        <f t="shared" si="4"/>
        <v>23310.350000000006</v>
      </c>
      <c r="E35" s="30">
        <f t="shared" si="4"/>
        <v>28694.850000000006</v>
      </c>
      <c r="F35" s="30">
        <f t="shared" si="4"/>
        <v>34079.349999999991</v>
      </c>
      <c r="G35" s="30">
        <f t="shared" si="4"/>
        <v>39463.850000000035</v>
      </c>
      <c r="H35" s="30">
        <f t="shared" si="4"/>
        <v>43577.850000000035</v>
      </c>
      <c r="I35" s="30">
        <f t="shared" si="4"/>
        <v>48962.35000000002</v>
      </c>
      <c r="J35" s="30">
        <f t="shared" si="4"/>
        <v>34079.350000000006</v>
      </c>
      <c r="K35" s="30">
        <f t="shared" si="4"/>
        <v>28694.850000000006</v>
      </c>
      <c r="L35" s="30">
        <f t="shared" si="4"/>
        <v>23310.350000000006</v>
      </c>
      <c r="M35" s="30">
        <f t="shared" si="4"/>
        <v>46644.050000000017</v>
      </c>
    </row>
    <row r="36" spans="1:14" x14ac:dyDescent="0.3">
      <c r="A36" s="31"/>
      <c r="B36" s="32"/>
      <c r="C36" s="34"/>
      <c r="D36" s="34"/>
      <c r="E36" s="32"/>
      <c r="F36" s="32"/>
      <c r="G36" s="32"/>
      <c r="H36" s="32"/>
      <c r="I36" s="32"/>
      <c r="J36" s="32"/>
      <c r="K36" s="32"/>
      <c r="L36" s="32"/>
      <c r="M36" s="32"/>
    </row>
    <row r="37" spans="1:14" ht="10.5" customHeight="1" x14ac:dyDescent="0.3">
      <c r="A37" s="31"/>
      <c r="B37" s="227" t="s">
        <v>87</v>
      </c>
      <c r="C37" s="227"/>
      <c r="D37" s="227"/>
      <c r="E37" s="227"/>
      <c r="F37" s="227"/>
      <c r="G37" s="227"/>
      <c r="H37" s="227"/>
      <c r="I37" s="227"/>
      <c r="J37" s="227"/>
      <c r="K37" s="227"/>
      <c r="L37" s="227"/>
      <c r="M37" s="227"/>
    </row>
    <row r="38" spans="1:14" ht="18.75" customHeight="1" thickBot="1" x14ac:dyDescent="0.35">
      <c r="B38" s="228"/>
      <c r="C38" s="228"/>
      <c r="D38" s="228"/>
      <c r="E38" s="228"/>
      <c r="F38" s="228"/>
      <c r="G38" s="228"/>
      <c r="H38" s="228"/>
      <c r="I38" s="228"/>
      <c r="J38" s="228"/>
      <c r="K38" s="228"/>
      <c r="L38" s="228"/>
      <c r="M38" s="228"/>
    </row>
    <row r="39" spans="1:14" ht="15.6" x14ac:dyDescent="0.3">
      <c r="A39" s="41" t="s">
        <v>85</v>
      </c>
      <c r="B39" s="87">
        <f>B3-'PRESUPUESTO 2026'!C3</f>
        <v>19866</v>
      </c>
      <c r="C39" s="87">
        <f>C3-'PRESUPUESTO 2026'!D3</f>
        <v>18711.000000000015</v>
      </c>
      <c r="D39" s="87">
        <f>D3-'PRESUPUESTO 2026'!E3</f>
        <v>21021</v>
      </c>
      <c r="E39" s="87">
        <f>E3-'PRESUPUESTO 2026'!F3</f>
        <v>22176</v>
      </c>
      <c r="F39" s="87">
        <f>F3-'PRESUPUESTO 2026'!G3</f>
        <v>23331</v>
      </c>
      <c r="G39" s="87">
        <f>G3-'PRESUPUESTO 2026'!H3</f>
        <v>24486.000000000029</v>
      </c>
      <c r="H39" s="87">
        <f>H3-'PRESUPUESTO 2026'!I3</f>
        <v>25641.000000000029</v>
      </c>
      <c r="I39" s="87">
        <f>I3-'PRESUPUESTO 2026'!J3</f>
        <v>26796.000000000029</v>
      </c>
      <c r="J39" s="87">
        <f>J3-'PRESUPUESTO 2026'!K3</f>
        <v>23331</v>
      </c>
      <c r="K39" s="87">
        <f>K3-'PRESUPUESTO 2026'!L3</f>
        <v>22176</v>
      </c>
      <c r="L39" s="87">
        <f>L3-'PRESUPUESTO 2026'!M3</f>
        <v>21021</v>
      </c>
      <c r="M39" s="87">
        <f>M3-'PRESUPUESTO 2026'!N3</f>
        <v>27951.000000000029</v>
      </c>
    </row>
    <row r="40" spans="1:14" x14ac:dyDescent="0.3">
      <c r="A40" s="43" t="s">
        <v>84</v>
      </c>
      <c r="B40" s="44">
        <f>(B9+B11)-((B9+B11)/1.21)</f>
        <v>8665.6500000000015</v>
      </c>
      <c r="C40" s="44">
        <f t="shared" ref="C40:M40" si="5">(C9+C11)-((C9+C11)/1.21)</f>
        <v>8224.6500000000015</v>
      </c>
      <c r="D40" s="44">
        <f t="shared" si="5"/>
        <v>8665.6500000000015</v>
      </c>
      <c r="E40" s="44">
        <f t="shared" si="5"/>
        <v>8886.1499999999942</v>
      </c>
      <c r="F40" s="44">
        <f t="shared" si="5"/>
        <v>9106.6499999999942</v>
      </c>
      <c r="G40" s="44">
        <f t="shared" si="5"/>
        <v>9327.1499999999942</v>
      </c>
      <c r="H40" s="44">
        <f t="shared" si="5"/>
        <v>9768.1499999999942</v>
      </c>
      <c r="I40" s="44">
        <f t="shared" si="5"/>
        <v>9988.6499999999942</v>
      </c>
      <c r="J40" s="44">
        <f t="shared" si="5"/>
        <v>9106.6500000000015</v>
      </c>
      <c r="K40" s="44">
        <f t="shared" si="5"/>
        <v>8886.1499999999942</v>
      </c>
      <c r="L40" s="44">
        <f t="shared" si="5"/>
        <v>8665.6500000000015</v>
      </c>
      <c r="M40" s="44">
        <f t="shared" si="5"/>
        <v>10561.949999999997</v>
      </c>
      <c r="N40" s="8" t="s">
        <v>126</v>
      </c>
    </row>
    <row r="41" spans="1:14" x14ac:dyDescent="0.3">
      <c r="A41" s="45" t="s">
        <v>86</v>
      </c>
      <c r="B41" s="40">
        <f>TESORERIA_2025!N41</f>
        <v>37905</v>
      </c>
      <c r="C41" s="40"/>
      <c r="D41" s="40"/>
      <c r="E41" s="40">
        <f>(SUM(B39:D39)-SUM(B40:D40))</f>
        <v>34042.05000000001</v>
      </c>
      <c r="F41" s="40"/>
      <c r="G41" s="40"/>
      <c r="H41" s="40">
        <f t="shared" ref="H41" si="6">(SUM(E39:G39)-SUM(E40:G40))</f>
        <v>42673.050000000047</v>
      </c>
      <c r="I41" s="40"/>
      <c r="J41" s="40"/>
      <c r="K41" s="40">
        <f t="shared" ref="K41" si="7">(SUM(H39:J39)-SUM(H40:J40))</f>
        <v>46904.550000000068</v>
      </c>
      <c r="L41" s="40"/>
      <c r="M41" s="40"/>
      <c r="N41" s="40">
        <f t="shared" ref="N41" si="8">(SUM(K39:M39)-SUM(K40:M40))</f>
        <v>43034.250000000036</v>
      </c>
    </row>
    <row r="42" spans="1:14" x14ac:dyDescent="0.3">
      <c r="A42" s="31"/>
      <c r="B42" s="32"/>
      <c r="C42" s="32"/>
      <c r="D42" s="162"/>
      <c r="E42" s="32"/>
      <c r="F42" s="32"/>
      <c r="G42" s="32"/>
      <c r="H42" s="32"/>
      <c r="I42" s="32"/>
      <c r="J42" s="32"/>
      <c r="K42" s="32"/>
      <c r="L42" s="32"/>
      <c r="M42" s="32"/>
    </row>
    <row r="43" spans="1:14" x14ac:dyDescent="0.3">
      <c r="A43" s="31" t="s">
        <v>103</v>
      </c>
      <c r="B43" s="162">
        <f>TESORERIA_2025!M74</f>
        <v>219905</v>
      </c>
      <c r="C43" s="32"/>
      <c r="D43" s="32"/>
      <c r="E43" s="32"/>
      <c r="F43" s="32"/>
      <c r="G43" s="32"/>
      <c r="H43" s="32"/>
      <c r="I43" s="32"/>
      <c r="J43" s="32"/>
      <c r="K43" s="32"/>
      <c r="L43" s="32"/>
      <c r="M43" s="32"/>
    </row>
    <row r="44" spans="1:14" customFormat="1" ht="17.399999999999999" x14ac:dyDescent="0.3">
      <c r="A44" s="35"/>
      <c r="B44" s="226" t="s">
        <v>88</v>
      </c>
      <c r="C44" s="226"/>
      <c r="D44" s="226"/>
      <c r="E44" s="226"/>
      <c r="F44" s="226"/>
      <c r="G44" s="226"/>
      <c r="H44" s="226"/>
      <c r="I44" s="226"/>
      <c r="J44" s="226"/>
      <c r="K44" s="226"/>
      <c r="L44" s="226"/>
      <c r="M44" s="226"/>
    </row>
    <row r="45" spans="1:14" customFormat="1" ht="15.6" x14ac:dyDescent="0.3">
      <c r="A45" s="41" t="s">
        <v>89</v>
      </c>
      <c r="B45" s="42">
        <f t="shared" ref="B45:M45" si="9">B3</f>
        <v>114466</v>
      </c>
      <c r="C45" s="42">
        <f t="shared" si="9"/>
        <v>107811.00000000001</v>
      </c>
      <c r="D45" s="42">
        <f t="shared" si="9"/>
        <v>121121</v>
      </c>
      <c r="E45" s="42">
        <f t="shared" si="9"/>
        <v>127776</v>
      </c>
      <c r="F45" s="42">
        <f t="shared" si="9"/>
        <v>134431</v>
      </c>
      <c r="G45" s="42">
        <f t="shared" si="9"/>
        <v>141086.00000000003</v>
      </c>
      <c r="H45" s="42">
        <f t="shared" si="9"/>
        <v>147741.00000000003</v>
      </c>
      <c r="I45" s="42">
        <f t="shared" si="9"/>
        <v>154396.00000000003</v>
      </c>
      <c r="J45" s="42">
        <f t="shared" si="9"/>
        <v>134431</v>
      </c>
      <c r="K45" s="42">
        <f t="shared" si="9"/>
        <v>127776</v>
      </c>
      <c r="L45" s="42">
        <f t="shared" si="9"/>
        <v>121121</v>
      </c>
      <c r="M45" s="42">
        <f t="shared" si="9"/>
        <v>161051.00000000003</v>
      </c>
    </row>
    <row r="46" spans="1:14" ht="15.6" x14ac:dyDescent="0.3">
      <c r="A46" s="41" t="s">
        <v>90</v>
      </c>
      <c r="B46" s="42">
        <f>B8</f>
        <v>97810.65</v>
      </c>
      <c r="C46" s="42">
        <f t="shared" ref="C46:M46" si="10">C8</f>
        <v>95269.65</v>
      </c>
      <c r="D46" s="42">
        <f t="shared" si="10"/>
        <v>97810.65</v>
      </c>
      <c r="E46" s="42">
        <f t="shared" si="10"/>
        <v>99081.15</v>
      </c>
      <c r="F46" s="42">
        <f t="shared" si="10"/>
        <v>100351.65000000001</v>
      </c>
      <c r="G46" s="42">
        <f t="shared" si="10"/>
        <v>101622.15</v>
      </c>
      <c r="H46" s="42">
        <f t="shared" si="10"/>
        <v>104163.15</v>
      </c>
      <c r="I46" s="42">
        <f t="shared" si="10"/>
        <v>105433.65000000001</v>
      </c>
      <c r="J46" s="42">
        <f t="shared" si="10"/>
        <v>100351.65</v>
      </c>
      <c r="K46" s="42">
        <f t="shared" si="10"/>
        <v>99081.15</v>
      </c>
      <c r="L46" s="42">
        <f t="shared" si="10"/>
        <v>97810.65</v>
      </c>
      <c r="M46" s="42">
        <f t="shared" si="10"/>
        <v>114406.95000000001</v>
      </c>
    </row>
    <row r="47" spans="1:14" ht="15.6" x14ac:dyDescent="0.3">
      <c r="A47" s="41" t="s">
        <v>101</v>
      </c>
      <c r="B47" s="42">
        <f>TESORERIA_2025!N41</f>
        <v>37905</v>
      </c>
      <c r="C47" s="42">
        <f t="shared" ref="C47:M47" si="11">C41</f>
        <v>0</v>
      </c>
      <c r="D47" s="42">
        <f t="shared" si="11"/>
        <v>0</v>
      </c>
      <c r="E47" s="42">
        <f t="shared" si="11"/>
        <v>34042.05000000001</v>
      </c>
      <c r="F47" s="42">
        <f t="shared" si="11"/>
        <v>0</v>
      </c>
      <c r="G47" s="42">
        <f t="shared" si="11"/>
        <v>0</v>
      </c>
      <c r="H47" s="42">
        <f t="shared" si="11"/>
        <v>42673.050000000047</v>
      </c>
      <c r="I47" s="42">
        <f t="shared" si="11"/>
        <v>0</v>
      </c>
      <c r="J47" s="42">
        <f t="shared" si="11"/>
        <v>0</v>
      </c>
      <c r="K47" s="42">
        <f t="shared" si="11"/>
        <v>46904.550000000068</v>
      </c>
      <c r="L47" s="42">
        <f t="shared" si="11"/>
        <v>0</v>
      </c>
      <c r="M47" s="42">
        <f t="shared" si="11"/>
        <v>0</v>
      </c>
    </row>
    <row r="48" spans="1:14" x14ac:dyDescent="0.3">
      <c r="A48" s="43" t="s">
        <v>102</v>
      </c>
      <c r="B48" s="44">
        <f>B45-B46-B47</f>
        <v>-21249.649999999994</v>
      </c>
      <c r="C48" s="44">
        <f t="shared" ref="C48:M48" si="12">C45-C46-C47</f>
        <v>12541.35000000002</v>
      </c>
      <c r="D48" s="44">
        <f t="shared" si="12"/>
        <v>23310.350000000006</v>
      </c>
      <c r="E48" s="44">
        <f t="shared" si="12"/>
        <v>-5347.2000000000044</v>
      </c>
      <c r="F48" s="44">
        <f t="shared" si="12"/>
        <v>34079.349999999991</v>
      </c>
      <c r="G48" s="44">
        <f t="shared" si="12"/>
        <v>39463.850000000035</v>
      </c>
      <c r="H48" s="44">
        <f t="shared" si="12"/>
        <v>904.79999999998836</v>
      </c>
      <c r="I48" s="44">
        <f t="shared" si="12"/>
        <v>48962.35000000002</v>
      </c>
      <c r="J48" s="44">
        <f t="shared" si="12"/>
        <v>34079.350000000006</v>
      </c>
      <c r="K48" s="44">
        <f t="shared" si="12"/>
        <v>-18209.700000000063</v>
      </c>
      <c r="L48" s="44">
        <f t="shared" si="12"/>
        <v>23310.350000000006</v>
      </c>
      <c r="M48" s="44">
        <f t="shared" si="12"/>
        <v>46644.050000000017</v>
      </c>
    </row>
    <row r="49" spans="1:13" x14ac:dyDescent="0.3">
      <c r="A49" s="45" t="s">
        <v>91</v>
      </c>
      <c r="B49" s="40">
        <f>B43+B48</f>
        <v>198655.35</v>
      </c>
      <c r="C49" s="40">
        <f>B49+C48</f>
        <v>211196.7</v>
      </c>
      <c r="D49" s="40">
        <f t="shared" ref="D49:M49" si="13">C49+D48</f>
        <v>234507.05000000002</v>
      </c>
      <c r="E49" s="40">
        <f t="shared" si="13"/>
        <v>229159.85</v>
      </c>
      <c r="F49" s="40">
        <f t="shared" si="13"/>
        <v>263239.2</v>
      </c>
      <c r="G49" s="40">
        <f t="shared" si="13"/>
        <v>302703.05000000005</v>
      </c>
      <c r="H49" s="40">
        <f t="shared" si="13"/>
        <v>303607.85000000003</v>
      </c>
      <c r="I49" s="40">
        <f t="shared" si="13"/>
        <v>352570.20000000007</v>
      </c>
      <c r="J49" s="40">
        <f t="shared" si="13"/>
        <v>386649.55000000005</v>
      </c>
      <c r="K49" s="40">
        <f t="shared" si="13"/>
        <v>368439.85</v>
      </c>
      <c r="L49" s="40">
        <f t="shared" si="13"/>
        <v>391750.19999999995</v>
      </c>
      <c r="M49" s="40">
        <f t="shared" si="13"/>
        <v>438394.25</v>
      </c>
    </row>
    <row r="50" spans="1:13" x14ac:dyDescent="0.3">
      <c r="A50" s="46"/>
      <c r="B50" s="47"/>
      <c r="C50" s="48"/>
      <c r="D50" s="48"/>
      <c r="E50" s="48"/>
      <c r="F50" s="48"/>
      <c r="G50" s="48"/>
      <c r="H50" s="48"/>
      <c r="I50" s="48"/>
      <c r="J50" s="48"/>
      <c r="K50" s="48"/>
      <c r="L50" s="48"/>
      <c r="M50" s="49"/>
    </row>
    <row r="51" spans="1:13" x14ac:dyDescent="0.3">
      <c r="A51" s="46"/>
      <c r="B51" s="47"/>
      <c r="C51" s="48"/>
      <c r="D51" s="48"/>
      <c r="E51" s="48"/>
      <c r="F51" s="48"/>
      <c r="G51" s="48"/>
      <c r="H51" s="48"/>
      <c r="I51" s="48"/>
      <c r="J51" s="48"/>
      <c r="K51" s="48"/>
      <c r="L51" s="48"/>
      <c r="M51" s="49"/>
    </row>
    <row r="52" spans="1:13" x14ac:dyDescent="0.3">
      <c r="A52" s="46"/>
      <c r="B52" s="47"/>
      <c r="C52" s="48"/>
      <c r="D52" s="48"/>
      <c r="E52" s="48"/>
      <c r="F52" s="48"/>
      <c r="G52" s="48"/>
      <c r="H52" s="48"/>
      <c r="I52" s="48"/>
      <c r="J52" s="48"/>
      <c r="K52" s="48"/>
      <c r="L52" s="48"/>
      <c r="M52" s="49"/>
    </row>
    <row r="53" spans="1:13" x14ac:dyDescent="0.3">
      <c r="A53" s="35"/>
      <c r="B53" s="37"/>
      <c r="C53" s="38"/>
      <c r="D53" s="38"/>
      <c r="E53" s="38"/>
      <c r="F53" s="38"/>
      <c r="G53" s="38"/>
      <c r="H53" s="38"/>
      <c r="I53" s="38"/>
      <c r="J53" s="38"/>
      <c r="K53" s="38"/>
      <c r="L53" s="38"/>
      <c r="M53" s="39"/>
    </row>
    <row r="54" spans="1:13" x14ac:dyDescent="0.3">
      <c r="A54" s="35"/>
      <c r="B54" s="231" t="s">
        <v>92</v>
      </c>
      <c r="C54" s="231"/>
      <c r="D54" s="231"/>
      <c r="E54" s="231"/>
      <c r="F54" s="231"/>
      <c r="G54" s="231"/>
      <c r="H54" s="231"/>
      <c r="I54" s="231"/>
      <c r="J54" s="231"/>
      <c r="K54" s="231"/>
      <c r="L54" s="231"/>
      <c r="M54" s="231"/>
    </row>
    <row r="55" spans="1:13" x14ac:dyDescent="0.3">
      <c r="A55" s="35"/>
      <c r="B55" s="231"/>
      <c r="C55" s="231"/>
      <c r="D55" s="231"/>
      <c r="E55" s="231"/>
      <c r="F55" s="231"/>
      <c r="G55" s="231"/>
      <c r="H55" s="231"/>
      <c r="I55" s="231"/>
      <c r="J55" s="231"/>
      <c r="K55" s="231"/>
      <c r="L55" s="231"/>
      <c r="M55" s="231"/>
    </row>
    <row r="56" spans="1:13" x14ac:dyDescent="0.3">
      <c r="A56" s="229"/>
      <c r="B56" s="230">
        <v>2025</v>
      </c>
      <c r="C56" s="230"/>
      <c r="D56" s="230"/>
      <c r="E56" s="230"/>
      <c r="F56" s="230"/>
      <c r="G56" s="230"/>
      <c r="H56" s="230"/>
      <c r="I56" s="230"/>
      <c r="J56" s="230"/>
      <c r="K56" s="230"/>
      <c r="L56" s="230"/>
      <c r="M56" s="230"/>
    </row>
    <row r="57" spans="1:13" x14ac:dyDescent="0.3">
      <c r="A57" s="229"/>
      <c r="B57" s="230"/>
      <c r="C57" s="230"/>
      <c r="D57" s="230"/>
      <c r="E57" s="230"/>
      <c r="F57" s="230"/>
      <c r="G57" s="230"/>
      <c r="H57" s="230"/>
      <c r="I57" s="230"/>
      <c r="J57" s="230"/>
      <c r="K57" s="230"/>
      <c r="L57" s="230"/>
      <c r="M57" s="230"/>
    </row>
    <row r="58" spans="1:13" x14ac:dyDescent="0.3">
      <c r="A58" s="229"/>
      <c r="B58" s="230"/>
      <c r="C58" s="230"/>
      <c r="D58" s="230"/>
      <c r="E58" s="230"/>
      <c r="F58" s="230"/>
      <c r="G58" s="230"/>
      <c r="H58" s="230"/>
      <c r="I58" s="230"/>
      <c r="J58" s="230"/>
      <c r="K58" s="230"/>
      <c r="L58" s="230"/>
      <c r="M58" s="230"/>
    </row>
    <row r="59" spans="1:13" x14ac:dyDescent="0.3">
      <c r="A59" s="229"/>
      <c r="B59" s="50" t="s">
        <v>0</v>
      </c>
      <c r="C59" s="51" t="s">
        <v>1</v>
      </c>
      <c r="D59" s="51" t="s">
        <v>2</v>
      </c>
      <c r="E59" s="52" t="s">
        <v>3</v>
      </c>
      <c r="F59" s="51" t="s">
        <v>4</v>
      </c>
      <c r="G59" s="51" t="s">
        <v>5</v>
      </c>
      <c r="H59" s="52" t="s">
        <v>6</v>
      </c>
      <c r="I59" s="51" t="s">
        <v>7</v>
      </c>
      <c r="J59" s="53" t="s">
        <v>8</v>
      </c>
      <c r="K59" s="53" t="s">
        <v>9</v>
      </c>
      <c r="L59" s="53" t="s">
        <v>10</v>
      </c>
      <c r="M59" s="53" t="s">
        <v>11</v>
      </c>
    </row>
    <row r="60" spans="1:13" x14ac:dyDescent="0.3">
      <c r="A60" s="36" t="s">
        <v>94</v>
      </c>
      <c r="B60" s="35">
        <v>0</v>
      </c>
      <c r="C60" s="35">
        <v>0</v>
      </c>
      <c r="D60" s="35">
        <v>0</v>
      </c>
      <c r="E60" s="35">
        <v>0</v>
      </c>
      <c r="F60" s="35">
        <v>0</v>
      </c>
      <c r="G60" s="35">
        <v>0</v>
      </c>
      <c r="H60" s="35">
        <v>0</v>
      </c>
      <c r="I60" s="35">
        <v>0</v>
      </c>
      <c r="J60" s="35">
        <v>0</v>
      </c>
      <c r="K60" s="35">
        <v>0</v>
      </c>
      <c r="L60" s="35">
        <v>0</v>
      </c>
      <c r="M60" s="35">
        <v>0</v>
      </c>
    </row>
    <row r="61" spans="1:13" x14ac:dyDescent="0.3">
      <c r="A61" s="36" t="s">
        <v>104</v>
      </c>
      <c r="B61" s="54">
        <f>'PRESUPUESTO 2026'!C46</f>
        <v>1600</v>
      </c>
      <c r="C61" s="54">
        <f>'PRESUPUESTO 2026'!D46</f>
        <v>1600</v>
      </c>
      <c r="D61" s="54">
        <f>'PRESUPUESTO 2026'!E46</f>
        <v>1600</v>
      </c>
      <c r="E61" s="54">
        <f>'PRESUPUESTO 2026'!F46</f>
        <v>1600</v>
      </c>
      <c r="F61" s="54">
        <f>'PRESUPUESTO 2026'!G46</f>
        <v>1600</v>
      </c>
      <c r="G61" s="54">
        <f>'PRESUPUESTO 2026'!H46</f>
        <v>1600</v>
      </c>
      <c r="H61" s="54">
        <f>'PRESUPUESTO 2026'!I46</f>
        <v>1600</v>
      </c>
      <c r="I61" s="54">
        <f>'PRESUPUESTO 2026'!J46</f>
        <v>1600</v>
      </c>
      <c r="J61" s="54">
        <f>'PRESUPUESTO 2026'!K46</f>
        <v>1600</v>
      </c>
      <c r="K61" s="54">
        <f>'PRESUPUESTO 2026'!L46</f>
        <v>1600</v>
      </c>
      <c r="L61" s="54">
        <f>'PRESUPUESTO 2026'!M46</f>
        <v>1600</v>
      </c>
      <c r="M61" s="54">
        <f>'PRESUPUESTO 2026'!N46</f>
        <v>1600</v>
      </c>
    </row>
    <row r="62" spans="1:13" ht="16.8" x14ac:dyDescent="0.3">
      <c r="A62" s="57" t="s">
        <v>95</v>
      </c>
      <c r="B62" s="58">
        <f t="shared" ref="B62:M62" si="14">-(SUM(B60:B61))</f>
        <v>-1600</v>
      </c>
      <c r="C62" s="58">
        <f t="shared" si="14"/>
        <v>-1600</v>
      </c>
      <c r="D62" s="58">
        <f t="shared" si="14"/>
        <v>-1600</v>
      </c>
      <c r="E62" s="58">
        <f t="shared" si="14"/>
        <v>-1600</v>
      </c>
      <c r="F62" s="58">
        <f t="shared" si="14"/>
        <v>-1600</v>
      </c>
      <c r="G62" s="58">
        <f t="shared" si="14"/>
        <v>-1600</v>
      </c>
      <c r="H62" s="58">
        <f t="shared" si="14"/>
        <v>-1600</v>
      </c>
      <c r="I62" s="58">
        <f t="shared" si="14"/>
        <v>-1600</v>
      </c>
      <c r="J62" s="58">
        <f t="shared" si="14"/>
        <v>-1600</v>
      </c>
      <c r="K62" s="58">
        <f t="shared" si="14"/>
        <v>-1600</v>
      </c>
      <c r="L62" s="58">
        <f t="shared" si="14"/>
        <v>-1600</v>
      </c>
      <c r="M62" s="58">
        <f t="shared" si="14"/>
        <v>-1600</v>
      </c>
    </row>
    <row r="63" spans="1:13" ht="16.8" x14ac:dyDescent="0.3">
      <c r="A63" s="59"/>
      <c r="B63" s="60"/>
      <c r="C63" s="61"/>
      <c r="D63" s="61"/>
      <c r="E63" s="61"/>
      <c r="F63" s="61"/>
      <c r="G63" s="61"/>
      <c r="H63" s="61"/>
      <c r="I63" s="61"/>
      <c r="J63" s="61"/>
      <c r="K63" s="61"/>
      <c r="L63" s="61"/>
      <c r="M63" s="61"/>
    </row>
    <row r="64" spans="1:13" x14ac:dyDescent="0.3">
      <c r="A64" s="35"/>
      <c r="B64" s="37"/>
      <c r="C64" s="38"/>
      <c r="D64" s="38"/>
      <c r="E64" s="38"/>
      <c r="F64" s="38"/>
      <c r="G64" s="38"/>
      <c r="H64" s="38"/>
      <c r="I64" s="38"/>
      <c r="J64" s="38"/>
      <c r="K64" s="38"/>
      <c r="L64" s="38"/>
      <c r="M64" s="39"/>
    </row>
    <row r="65" spans="1:13" x14ac:dyDescent="0.3">
      <c r="A65" s="232"/>
      <c r="B65" s="231" t="s">
        <v>96</v>
      </c>
      <c r="C65" s="231"/>
      <c r="D65" s="231"/>
      <c r="E65" s="231"/>
      <c r="F65" s="231"/>
      <c r="G65" s="231"/>
      <c r="H65" s="231"/>
      <c r="I65" s="231"/>
      <c r="J65" s="231"/>
      <c r="K65" s="231"/>
      <c r="L65" s="231"/>
      <c r="M65" s="231"/>
    </row>
    <row r="66" spans="1:13" x14ac:dyDescent="0.3">
      <c r="A66" s="232"/>
      <c r="B66" s="231"/>
      <c r="C66" s="231"/>
      <c r="D66" s="231"/>
      <c r="E66" s="231"/>
      <c r="F66" s="231"/>
      <c r="G66" s="231"/>
      <c r="H66" s="231"/>
      <c r="I66" s="231"/>
      <c r="J66" s="231"/>
      <c r="K66" s="231"/>
      <c r="L66" s="231"/>
      <c r="M66" s="231"/>
    </row>
    <row r="67" spans="1:13" x14ac:dyDescent="0.3">
      <c r="A67" s="229"/>
      <c r="B67" s="230">
        <v>2025</v>
      </c>
      <c r="C67" s="230"/>
      <c r="D67" s="230"/>
      <c r="E67" s="230"/>
      <c r="F67" s="230"/>
      <c r="G67" s="230"/>
      <c r="H67" s="230"/>
      <c r="I67" s="230"/>
      <c r="J67" s="230"/>
      <c r="K67" s="230"/>
      <c r="L67" s="230"/>
      <c r="M67" s="230"/>
    </row>
    <row r="68" spans="1:13" x14ac:dyDescent="0.3">
      <c r="A68" s="229"/>
      <c r="B68" s="230"/>
      <c r="C68" s="230"/>
      <c r="D68" s="230"/>
      <c r="E68" s="230"/>
      <c r="F68" s="230"/>
      <c r="G68" s="230"/>
      <c r="H68" s="230"/>
      <c r="I68" s="230"/>
      <c r="J68" s="230"/>
      <c r="K68" s="230"/>
      <c r="L68" s="230"/>
      <c r="M68" s="230"/>
    </row>
    <row r="69" spans="1:13" x14ac:dyDescent="0.3">
      <c r="A69" s="229"/>
      <c r="B69" s="230"/>
      <c r="C69" s="230"/>
      <c r="D69" s="230"/>
      <c r="E69" s="230"/>
      <c r="F69" s="230"/>
      <c r="G69" s="230"/>
      <c r="H69" s="230"/>
      <c r="I69" s="230"/>
      <c r="J69" s="230"/>
      <c r="K69" s="230"/>
      <c r="L69" s="230"/>
      <c r="M69" s="230"/>
    </row>
    <row r="70" spans="1:13" x14ac:dyDescent="0.3">
      <c r="A70" s="229"/>
      <c r="B70" s="50" t="s">
        <v>0</v>
      </c>
      <c r="C70" s="51" t="s">
        <v>1</v>
      </c>
      <c r="D70" s="51" t="s">
        <v>2</v>
      </c>
      <c r="E70" s="52" t="s">
        <v>3</v>
      </c>
      <c r="F70" s="51" t="s">
        <v>4</v>
      </c>
      <c r="G70" s="51" t="s">
        <v>5</v>
      </c>
      <c r="H70" s="52" t="s">
        <v>6</v>
      </c>
      <c r="I70" s="51" t="s">
        <v>7</v>
      </c>
      <c r="J70" s="53" t="s">
        <v>8</v>
      </c>
      <c r="K70" s="53" t="s">
        <v>9</v>
      </c>
      <c r="L70" s="53" t="s">
        <v>10</v>
      </c>
      <c r="M70" s="53" t="s">
        <v>11</v>
      </c>
    </row>
    <row r="71" spans="1:13" x14ac:dyDescent="0.3">
      <c r="A71" s="62" t="s">
        <v>97</v>
      </c>
      <c r="B71" s="54">
        <f>TESORERIA_2025!M74</f>
        <v>219905</v>
      </c>
      <c r="C71" s="55">
        <f t="shared" ref="C71:M71" si="15">B74</f>
        <v>197055.35</v>
      </c>
      <c r="D71" s="55">
        <f t="shared" si="15"/>
        <v>207996.7</v>
      </c>
      <c r="E71" s="55">
        <f t="shared" si="15"/>
        <v>229707.05000000002</v>
      </c>
      <c r="F71" s="55">
        <f t="shared" si="15"/>
        <v>222759.85</v>
      </c>
      <c r="G71" s="55">
        <f t="shared" si="15"/>
        <v>255239.2</v>
      </c>
      <c r="H71" s="55">
        <f t="shared" si="15"/>
        <v>293103.05000000005</v>
      </c>
      <c r="I71" s="55">
        <f t="shared" si="15"/>
        <v>292407.85000000003</v>
      </c>
      <c r="J71" s="55">
        <f t="shared" si="15"/>
        <v>339770.20000000007</v>
      </c>
      <c r="K71" s="55">
        <f t="shared" si="15"/>
        <v>372249.55000000005</v>
      </c>
      <c r="L71" s="55">
        <f t="shared" si="15"/>
        <v>352439.85</v>
      </c>
      <c r="M71" s="56">
        <f t="shared" si="15"/>
        <v>374150.19999999995</v>
      </c>
    </row>
    <row r="72" spans="1:13" x14ac:dyDescent="0.3">
      <c r="A72" s="62" t="s">
        <v>98</v>
      </c>
      <c r="B72" s="54">
        <f>B48</f>
        <v>-21249.649999999994</v>
      </c>
      <c r="C72" s="54">
        <f t="shared" ref="C72:M72" si="16">C48</f>
        <v>12541.35000000002</v>
      </c>
      <c r="D72" s="54">
        <f t="shared" si="16"/>
        <v>23310.350000000006</v>
      </c>
      <c r="E72" s="54">
        <f t="shared" si="16"/>
        <v>-5347.2000000000044</v>
      </c>
      <c r="F72" s="54">
        <f t="shared" si="16"/>
        <v>34079.349999999991</v>
      </c>
      <c r="G72" s="54">
        <f t="shared" si="16"/>
        <v>39463.850000000035</v>
      </c>
      <c r="H72" s="54">
        <f t="shared" si="16"/>
        <v>904.79999999998836</v>
      </c>
      <c r="I72" s="54">
        <f t="shared" si="16"/>
        <v>48962.35000000002</v>
      </c>
      <c r="J72" s="54">
        <f t="shared" si="16"/>
        <v>34079.350000000006</v>
      </c>
      <c r="K72" s="54">
        <f t="shared" si="16"/>
        <v>-18209.700000000063</v>
      </c>
      <c r="L72" s="54">
        <f t="shared" si="16"/>
        <v>23310.350000000006</v>
      </c>
      <c r="M72" s="54">
        <f t="shared" si="16"/>
        <v>46644.050000000017</v>
      </c>
    </row>
    <row r="73" spans="1:13" x14ac:dyDescent="0.3">
      <c r="A73" s="62" t="s">
        <v>99</v>
      </c>
      <c r="B73" s="54">
        <f t="shared" ref="B73:M73" si="17">B62</f>
        <v>-1600</v>
      </c>
      <c r="C73" s="55">
        <f t="shared" si="17"/>
        <v>-1600</v>
      </c>
      <c r="D73" s="55">
        <f t="shared" si="17"/>
        <v>-1600</v>
      </c>
      <c r="E73" s="55">
        <f t="shared" si="17"/>
        <v>-1600</v>
      </c>
      <c r="F73" s="55">
        <f t="shared" si="17"/>
        <v>-1600</v>
      </c>
      <c r="G73" s="55">
        <f t="shared" si="17"/>
        <v>-1600</v>
      </c>
      <c r="H73" s="55">
        <f t="shared" si="17"/>
        <v>-1600</v>
      </c>
      <c r="I73" s="55">
        <f t="shared" si="17"/>
        <v>-1600</v>
      </c>
      <c r="J73" s="55">
        <f t="shared" si="17"/>
        <v>-1600</v>
      </c>
      <c r="K73" s="55">
        <f t="shared" si="17"/>
        <v>-1600</v>
      </c>
      <c r="L73" s="55">
        <f t="shared" si="17"/>
        <v>-1600</v>
      </c>
      <c r="M73" s="56">
        <f t="shared" si="17"/>
        <v>-1600</v>
      </c>
    </row>
    <row r="74" spans="1:13" ht="16.8" x14ac:dyDescent="0.3">
      <c r="A74" s="57" t="s">
        <v>100</v>
      </c>
      <c r="B74" s="58">
        <f>B71+SUM(B72:B73)</f>
        <v>197055.35</v>
      </c>
      <c r="C74" s="63">
        <f t="shared" ref="C74:M74" si="18">C71+SUM(C72:C73)</f>
        <v>207996.7</v>
      </c>
      <c r="D74" s="63">
        <f t="shared" si="18"/>
        <v>229707.05000000002</v>
      </c>
      <c r="E74" s="63">
        <f t="shared" si="18"/>
        <v>222759.85</v>
      </c>
      <c r="F74" s="63">
        <f t="shared" si="18"/>
        <v>255239.2</v>
      </c>
      <c r="G74" s="63">
        <f t="shared" si="18"/>
        <v>293103.05000000005</v>
      </c>
      <c r="H74" s="63">
        <f t="shared" si="18"/>
        <v>292407.85000000003</v>
      </c>
      <c r="I74" s="63">
        <f t="shared" si="18"/>
        <v>339770.20000000007</v>
      </c>
      <c r="J74" s="63">
        <f t="shared" si="18"/>
        <v>372249.55000000005</v>
      </c>
      <c r="K74" s="63">
        <f t="shared" si="18"/>
        <v>352439.85</v>
      </c>
      <c r="L74" s="63">
        <f t="shared" si="18"/>
        <v>374150.19999999995</v>
      </c>
      <c r="M74" s="116">
        <f t="shared" si="18"/>
        <v>419194.25</v>
      </c>
    </row>
    <row r="76" spans="1:13" x14ac:dyDescent="0.3">
      <c r="A76" s="265" t="s">
        <v>133</v>
      </c>
      <c r="B76" s="266">
        <v>50000</v>
      </c>
      <c r="C76" s="117"/>
      <c r="L76" s="265" t="s">
        <v>127</v>
      </c>
      <c r="M76" s="266">
        <v>50000</v>
      </c>
    </row>
    <row r="77" spans="1:13" x14ac:dyDescent="0.3">
      <c r="A77" s="267" t="s">
        <v>134</v>
      </c>
      <c r="B77" s="268">
        <f>B71-B76</f>
        <v>169905</v>
      </c>
      <c r="L77" s="267" t="s">
        <v>128</v>
      </c>
      <c r="M77" s="268">
        <f>M74-M76</f>
        <v>369194.25</v>
      </c>
    </row>
    <row r="78" spans="1:13" x14ac:dyDescent="0.3">
      <c r="L78" s="8" t="s">
        <v>129</v>
      </c>
    </row>
    <row r="79" spans="1:13" x14ac:dyDescent="0.3">
      <c r="B79" s="117"/>
    </row>
  </sheetData>
  <mergeCells count="10">
    <mergeCell ref="A65:A66"/>
    <mergeCell ref="B65:M66"/>
    <mergeCell ref="A67:A70"/>
    <mergeCell ref="B67:M69"/>
    <mergeCell ref="B1:M1"/>
    <mergeCell ref="B37:M38"/>
    <mergeCell ref="B44:M44"/>
    <mergeCell ref="B54:M55"/>
    <mergeCell ref="A56:A59"/>
    <mergeCell ref="B56:M58"/>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C0BB7456105E41BAB9432F9F661C4E" ma:contentTypeVersion="18" ma:contentTypeDescription="Crear nuevo documento." ma:contentTypeScope="" ma:versionID="bca606270e4f2b38154949e37a5b1a77">
  <xsd:schema xmlns:xsd="http://www.w3.org/2001/XMLSchema" xmlns:xs="http://www.w3.org/2001/XMLSchema" xmlns:p="http://schemas.microsoft.com/office/2006/metadata/properties" xmlns:ns2="1cbda658-8bdf-499f-a111-f4f344ed71d9" xmlns:ns3="d1b17db5-f9ce-4f0a-b69d-28a4a785a06c" targetNamespace="http://schemas.microsoft.com/office/2006/metadata/properties" ma:root="true" ma:fieldsID="37644eb8196123a9d2bd7f9387e7a38c" ns2:_="" ns3:_="">
    <xsd:import namespace="1cbda658-8bdf-499f-a111-f4f344ed71d9"/>
    <xsd:import namespace="d1b17db5-f9ce-4f0a-b69d-28a4a785a0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Usuario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da658-8bdf-499f-a111-f4f344ed71d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7e7f3a2e-e2f1-4074-8ea3-ee2f28decb94}" ma:internalName="TaxCatchAll" ma:showField="CatchAllData" ma:web="1cbda658-8bdf-499f-a111-f4f344ed71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17db5-f9ce-4f0a-b69d-28a4a785a0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dfad4cd-dc33-4e8f-8627-d59fbeec10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Usuarios" ma:index="21" nillable="true" ma:displayName="Usuarios" ma:format="Dropdown" ma:list="UserInfo" ma:SharePointGroup="0" ma:internalName="Usuario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17db5-f9ce-4f0a-b69d-28a4a785a06c">
      <Terms xmlns="http://schemas.microsoft.com/office/infopath/2007/PartnerControls"/>
    </lcf76f155ced4ddcb4097134ff3c332f>
    <TaxCatchAll xmlns="1cbda658-8bdf-499f-a111-f4f344ed71d9" xsi:nil="true"/>
    <Usuarios xmlns="d1b17db5-f9ce-4f0a-b69d-28a4a785a06c">
      <UserInfo>
        <DisplayName/>
        <AccountId xsi:nil="true"/>
        <AccountType/>
      </UserInfo>
    </Usuarios>
  </documentManagement>
</p:properties>
</file>

<file path=customXml/itemProps1.xml><?xml version="1.0" encoding="utf-8"?>
<ds:datastoreItem xmlns:ds="http://schemas.openxmlformats.org/officeDocument/2006/customXml" ds:itemID="{180B7318-C12A-45A8-86CE-04CC83B794C3}"/>
</file>

<file path=customXml/itemProps2.xml><?xml version="1.0" encoding="utf-8"?>
<ds:datastoreItem xmlns:ds="http://schemas.openxmlformats.org/officeDocument/2006/customXml" ds:itemID="{744E4671-5684-4005-99D2-DC8DDAD55D3C}"/>
</file>

<file path=customXml/itemProps3.xml><?xml version="1.0" encoding="utf-8"?>
<ds:datastoreItem xmlns:ds="http://schemas.openxmlformats.org/officeDocument/2006/customXml" ds:itemID="{C8661217-09EE-4CE4-85E4-8C04AA0C5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Resultados_Obtenidos</vt:lpstr>
      <vt:lpstr>TESORERIA_2025</vt:lpstr>
      <vt:lpstr>Proyeccion esperada</vt:lpstr>
      <vt:lpstr>PRESUPUESTO 2026</vt:lpstr>
      <vt:lpstr>Tesorería_3 meses B1</vt:lpstr>
      <vt:lpstr>Tesorería_3 meses B2</vt:lpstr>
      <vt:lpstr>Tesorería_3 meses unificado</vt:lpstr>
      <vt:lpstr>TESORERIA_2026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Rafael Mtnez-Carrasco ARXON</cp:lastModifiedBy>
  <dcterms:created xsi:type="dcterms:W3CDTF">2026-02-15T15:15:56Z</dcterms:created>
  <dcterms:modified xsi:type="dcterms:W3CDTF">2026-02-20T00:05:24Z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0x0101000EC0BB7456105E41BAB9432F9F661C4E</vt:lpwstr>
  </property>
</Properties>
</file>